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drawings/drawing9.xml" ContentType="application/vnd.openxmlformats-officedocument.drawing+xml"/>
  <Override PartName="/xl/charts/chart2.xml" ContentType="application/vnd.openxmlformats-officedocument.drawingml.chart+xml"/>
  <Override PartName="/xl/drawings/drawing10.xml" ContentType="application/vnd.openxmlformats-officedocument.drawing+xml"/>
  <Override PartName="/xl/charts/chart3.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ate1904="1" showInkAnnotation="0" codeName="DieseArbeitsmappe" autoCompressPictures="0"/>
  <mc:AlternateContent xmlns:mc="http://schemas.openxmlformats.org/markup-compatibility/2006">
    <mc:Choice Requires="x15">
      <x15ac:absPath xmlns:x15ac="http://schemas.microsoft.com/office/spreadsheetml/2010/11/ac" url="https://kathtg.sharepoint.com/sites/1201Personal/Freigegebene Dokumente/12.01.01 Administration/Formulare_Merkblätter/Arbeitszeit/2026/"/>
    </mc:Choice>
  </mc:AlternateContent>
  <xr:revisionPtr revIDLastSave="119" documentId="8_{DD3E1454-B094-4345-88F6-04778ABF9712}" xr6:coauthVersionLast="47" xr6:coauthVersionMax="47" xr10:uidLastSave="{8DD2D30B-004F-4DAD-88DC-26F08639A647}"/>
  <bookViews>
    <workbookView showSheetTabs="0" xWindow="-120" yWindow="-120" windowWidth="38640" windowHeight="21120" tabRatio="735" firstSheet="3" activeTab="1" xr2:uid="{00000000-000D-0000-FFFF-FFFF00000000}"/>
  </bookViews>
  <sheets>
    <sheet name="Entwickler" sheetId="40" r:id="rId1"/>
    <sheet name="ctStartseite" sheetId="19" r:id="rId2"/>
    <sheet name="ctTipps" sheetId="35" r:id="rId3"/>
    <sheet name="ctPersonalangaben" sheetId="17" r:id="rId4"/>
    <sheet name="ctFeierFreitage" sheetId="18" r:id="rId5"/>
    <sheet name="ctArbeitsgebiete" sheetId="20" r:id="rId6"/>
    <sheet name="ctJahresuebersicht" sheetId="34" r:id="rId7"/>
    <sheet name="ctMonatsbericht_A" sheetId="39" r:id="rId8"/>
    <sheet name="ctAufgabenbericht_B" sheetId="38" r:id="rId9"/>
    <sheet name="ctUeberzeitbericht_C" sheetId="37" r:id="rId10"/>
    <sheet name="ctPlanungsbericht_D" sheetId="36" r:id="rId11"/>
    <sheet name="ctZaehlbericht_F" sheetId="41" r:id="rId12"/>
    <sheet name="Januar" sheetId="2" r:id="rId13"/>
    <sheet name="Februar" sheetId="3" r:id="rId14"/>
    <sheet name="Maerz" sheetId="4" r:id="rId15"/>
    <sheet name="April" sheetId="5" r:id="rId16"/>
    <sheet name="Mai" sheetId="6" r:id="rId17"/>
    <sheet name="Juni" sheetId="7" r:id="rId18"/>
    <sheet name="Juli" sheetId="8" r:id="rId19"/>
    <sheet name="August" sheetId="9" r:id="rId20"/>
    <sheet name="September" sheetId="10" r:id="rId21"/>
    <sheet name="Oktober" sheetId="11" r:id="rId22"/>
    <sheet name="November" sheetId="12" r:id="rId23"/>
    <sheet name="Dezember" sheetId="13" r:id="rId24"/>
    <sheet name="KALENDER" sheetId="22" r:id="rId25"/>
    <sheet name="Jahresabrechnung" sheetId="14" r:id="rId26"/>
    <sheet name="Eingabeblatt" sheetId="1" r:id="rId27"/>
  </sheets>
  <definedNames>
    <definedName name="_xlnm._FilterDatabase" localSheetId="8" hidden="1">ctAufgabenbericht_B!#REF!</definedName>
    <definedName name="_xlnm._FilterDatabase" localSheetId="9" hidden="1">ctUeberzeitbericht_C!$I$2:$Z$2</definedName>
    <definedName name="_Regression_Int" localSheetId="24" hidden="1">1</definedName>
    <definedName name="_Sort" hidden="1">KALENDER!$A:$A</definedName>
    <definedName name="april">KALENDER!$L$54:$L$84</definedName>
    <definedName name="Arbeitskalender">KALENDER!$A$1:$AK$33</definedName>
    <definedName name="Arbeitstage">KALENDER!$B$123:$C$129</definedName>
    <definedName name="Arbeitszeit">KALENDER!$C$2:$C$32</definedName>
    <definedName name="august">KALENDER!$X$54:$X$84</definedName>
    <definedName name="BerichtListe">ctJahresuebersicht!$F$3:$W$3</definedName>
    <definedName name="BerichtQuelleA">ctMonatsbericht_A!$J$2</definedName>
    <definedName name="BerichtQuelleB">ctAufgabenbericht_B!$J$2</definedName>
    <definedName name="BerichtQuelleC">ctUeberzeitbericht_C!$I$2</definedName>
    <definedName name="BerichtQuelleD">ctPlanungsbericht_D!$J$2</definedName>
    <definedName name="BerichtQuelleF">ctZaehlbericht_F!$J$2</definedName>
    <definedName name="Berichtsjahr">ctPersonalangaben!$L$5</definedName>
    <definedName name="dezember">KALENDER!$AJ$54:$AJ$84</definedName>
    <definedName name="_xlnm.Print_Area" localSheetId="15">April!$C$1:$AK$92</definedName>
    <definedName name="_xlnm.Print_Area" localSheetId="19">August!$C$1:$AK$92</definedName>
    <definedName name="_xlnm.Print_Area" localSheetId="5">ctArbeitsgebiete!$A$1:$L$27</definedName>
    <definedName name="_xlnm.Print_Area" localSheetId="8">ctAufgabenbericht_B!$B$2:$J$60</definedName>
    <definedName name="_xlnm.Print_Area" localSheetId="4">ctFeierFreitage!$B$1:$K$28</definedName>
    <definedName name="_xlnm.Print_Area" localSheetId="6">ctJahresuebersicht!$D$2:$T$85</definedName>
    <definedName name="_xlnm.Print_Area" localSheetId="7">ctMonatsbericht_A!$B$2:$K$50</definedName>
    <definedName name="_xlnm.Print_Area" localSheetId="3">ctPersonalangaben!$B$1:$R$35</definedName>
    <definedName name="_xlnm.Print_Area" localSheetId="10">ctPlanungsbericht_D!$B$2:$J$68</definedName>
    <definedName name="_xlnm.Print_Area" localSheetId="2">ctTipps!$A$1:$F$36</definedName>
    <definedName name="_xlnm.Print_Area" localSheetId="9">ctUeberzeitbericht_C!$B$2:$I$46</definedName>
    <definedName name="_xlnm.Print_Area" localSheetId="11">ctZaehlbericht_F!$B$2:$J$66</definedName>
    <definedName name="_xlnm.Print_Area" localSheetId="23">Dezember!$C$1:$AK$92</definedName>
    <definedName name="_xlnm.Print_Area" localSheetId="26">Eingabeblatt!$A$1:$J$104</definedName>
    <definedName name="_xlnm.Print_Area" localSheetId="13">Februar!$C$1:$AK$92</definedName>
    <definedName name="_xlnm.Print_Area" localSheetId="25">Jahresabrechnung!$A$1:$Y$22</definedName>
    <definedName name="_xlnm.Print_Area" localSheetId="12">Januar!$B$1:$AK$92</definedName>
    <definedName name="_xlnm.Print_Area" localSheetId="18">Juli!$C$1:$AK$92</definedName>
    <definedName name="_xlnm.Print_Area" localSheetId="17">Juni!$C$1:$AK$92</definedName>
    <definedName name="_xlnm.Print_Area" localSheetId="24">KALENDER!$A$1:$AJ$44</definedName>
    <definedName name="_xlnm.Print_Area" localSheetId="14">Maerz!$C$1:$AK$92</definedName>
    <definedName name="_xlnm.Print_Area" localSheetId="16">Mai!$C$1:$AK$92</definedName>
    <definedName name="_xlnm.Print_Area" localSheetId="22">November!$C$1:$AK$92</definedName>
    <definedName name="_xlnm.Print_Area" localSheetId="21">Oktober!$C$1:$AK$92</definedName>
    <definedName name="_xlnm.Print_Area" localSheetId="20">September!$C$1:$AK$92</definedName>
    <definedName name="februar">KALENDER!$F$54:$F$84</definedName>
    <definedName name="Feiertage">ctFeierFreitage!$B$6:$I$28</definedName>
    <definedName name="Feiertage1">ctFeierFreitage!$B$6:$B$28</definedName>
    <definedName name="Feiertagsanspruch">ctFeierFreitage!$B$6:$K$28</definedName>
    <definedName name="Ferienanspruch">ctPersonalangaben!$H$12:$P$21</definedName>
    <definedName name="FerienWoche">ctPersonalangaben!$D$7</definedName>
    <definedName name="Feste">KALENDER!$A$104:$J$119</definedName>
    <definedName name="januar">KALENDER!$C$54:$C$84</definedName>
    <definedName name="juli">KALENDER!$U$54:$U$84</definedName>
    <definedName name="juni">KALENDER!$R$54:$R$84</definedName>
    <definedName name="mai">KALENDER!$O$54:$O$84</definedName>
    <definedName name="märz">KALENDER!$I$54:$I$84</definedName>
    <definedName name="Mitarbeiter">ctPersonalangaben!$L$4</definedName>
    <definedName name="Mo">#REF!</definedName>
    <definedName name="Normtagesarbeitszeit">Eingabeblatt!$D$16</definedName>
    <definedName name="november">KALENDER!$AG$54:$AG$83</definedName>
    <definedName name="oktober">KALENDER!$AD$54:$AD$84</definedName>
    <definedName name="Raz" localSheetId="24">KALENDER!$A$4:$M$9</definedName>
    <definedName name="Raz">ctPersonalangaben!$B$26:$J$35</definedName>
    <definedName name="september">KALENDER!$AA$54:$AA$84</definedName>
    <definedName name="Tage">KALENDER!$A$123:$B$129</definedName>
    <definedName name="TgVoraus">ctPersonalangaben!#REF!</definedName>
    <definedName name="TotalJahr">ctJahresuebersicht!$F$3:$W$127</definedName>
    <definedName name="Zeiten" localSheetId="26">Eingabeblatt!$A$109:$A$168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8" i="18" l="1"/>
  <c r="A73" i="1" l="1"/>
  <c r="I15" i="18" l="1"/>
  <c r="I7" i="18"/>
  <c r="G7" i="18"/>
  <c r="G6" i="18"/>
  <c r="G15" i="18" l="1"/>
  <c r="J15" i="18" s="1"/>
  <c r="D50" i="1"/>
  <c r="I50" i="1"/>
  <c r="I51" i="1"/>
  <c r="I52" i="1"/>
  <c r="I53" i="1"/>
  <c r="I54" i="1"/>
  <c r="I55" i="1"/>
  <c r="I56" i="1"/>
  <c r="I57" i="1"/>
  <c r="I58" i="1"/>
  <c r="H49" i="1"/>
  <c r="D49" i="1"/>
  <c r="G49" i="1" s="1"/>
  <c r="L7" i="17"/>
  <c r="M7" i="17" s="1"/>
  <c r="K12" i="17"/>
  <c r="L12" i="17" s="1"/>
  <c r="M12" i="17" s="1"/>
  <c r="K13" i="17"/>
  <c r="L13" i="17"/>
  <c r="M13" i="17"/>
  <c r="O13" i="17"/>
  <c r="P13" i="17"/>
  <c r="P14" i="17"/>
  <c r="P15" i="17"/>
  <c r="P16" i="17"/>
  <c r="P17" i="17"/>
  <c r="P18" i="17"/>
  <c r="P19" i="17"/>
  <c r="P20" i="17"/>
  <c r="P21" i="17"/>
  <c r="O12" i="17"/>
  <c r="H88" i="1"/>
  <c r="F88" i="1"/>
  <c r="G88" i="1" s="1"/>
  <c r="H89" i="1"/>
  <c r="F89" i="1"/>
  <c r="H90" i="1"/>
  <c r="F90" i="1"/>
  <c r="H91" i="1"/>
  <c r="F91" i="1"/>
  <c r="H92" i="1"/>
  <c r="F92" i="1"/>
  <c r="H93" i="1"/>
  <c r="F93" i="1"/>
  <c r="H94" i="1"/>
  <c r="F94" i="1"/>
  <c r="H95" i="1"/>
  <c r="F95" i="1"/>
  <c r="H96" i="1"/>
  <c r="F96" i="1"/>
  <c r="H97" i="1"/>
  <c r="F97" i="1"/>
  <c r="I4" i="1"/>
  <c r="I6" i="18"/>
  <c r="J7" i="18"/>
  <c r="I8" i="18"/>
  <c r="H8" i="18"/>
  <c r="I9" i="18"/>
  <c r="I10" i="18"/>
  <c r="I11" i="18"/>
  <c r="I12" i="18"/>
  <c r="G12" i="18"/>
  <c r="I13" i="18"/>
  <c r="I14" i="18"/>
  <c r="I16" i="18"/>
  <c r="G9" i="18"/>
  <c r="G10" i="18"/>
  <c r="G11" i="18"/>
  <c r="G13" i="18"/>
  <c r="G14" i="18"/>
  <c r="G16" i="18"/>
  <c r="H16" i="18" s="1"/>
  <c r="G17" i="18"/>
  <c r="G18" i="18"/>
  <c r="G19" i="18"/>
  <c r="D2" i="10"/>
  <c r="C2" i="10"/>
  <c r="G17" i="10" s="1"/>
  <c r="D2" i="11"/>
  <c r="C2" i="11"/>
  <c r="AI4" i="11" s="1"/>
  <c r="D2" i="12"/>
  <c r="C2" i="12"/>
  <c r="AC15" i="12" s="1"/>
  <c r="D2" i="13"/>
  <c r="C2" i="13"/>
  <c r="Q13" i="17"/>
  <c r="R13" i="17"/>
  <c r="R27" i="17" s="1"/>
  <c r="T27" i="17" s="1"/>
  <c r="L4" i="17"/>
  <c r="E2" i="10" s="1"/>
  <c r="L5" i="17"/>
  <c r="B2" i="37" s="1"/>
  <c r="A110" i="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Q12" i="17"/>
  <c r="R12" i="17" s="1"/>
  <c r="R26" i="17" s="1"/>
  <c r="T12" i="17" s="1"/>
  <c r="N13" i="17"/>
  <c r="K14" i="17"/>
  <c r="L14" i="17"/>
  <c r="M14" i="17"/>
  <c r="N14" i="17"/>
  <c r="O14" i="17"/>
  <c r="Q14" i="17"/>
  <c r="R14" i="17" s="1"/>
  <c r="K15" i="17"/>
  <c r="L15" i="17"/>
  <c r="M15" i="17"/>
  <c r="N15" i="17"/>
  <c r="O15" i="17"/>
  <c r="Q15" i="17"/>
  <c r="R15" i="17"/>
  <c r="K16" i="17"/>
  <c r="L16" i="17"/>
  <c r="M16" i="17"/>
  <c r="N16" i="17"/>
  <c r="O16" i="17"/>
  <c r="Q16" i="17"/>
  <c r="R16" i="17" s="1"/>
  <c r="D2" i="2"/>
  <c r="C2" i="2"/>
  <c r="AG4" i="2" s="1"/>
  <c r="D2" i="3"/>
  <c r="C2" i="3"/>
  <c r="I3" i="3" s="1"/>
  <c r="I6" i="3" s="1"/>
  <c r="D2" i="4"/>
  <c r="C2" i="4"/>
  <c r="AB15" i="4" s="1"/>
  <c r="D2" i="5"/>
  <c r="C2" i="5"/>
  <c r="D2" i="6"/>
  <c r="C2" i="6"/>
  <c r="H3" i="6" s="1"/>
  <c r="H6" i="6" s="1"/>
  <c r="D2" i="7"/>
  <c r="C2" i="7"/>
  <c r="D2" i="8"/>
  <c r="C2" i="8"/>
  <c r="F3" i="8" s="1"/>
  <c r="F6" i="8" s="1"/>
  <c r="D2" i="9"/>
  <c r="C2" i="9"/>
  <c r="AG4" i="9" s="1"/>
  <c r="I17" i="18"/>
  <c r="I18" i="18"/>
  <c r="I19" i="18"/>
  <c r="A175" i="1"/>
  <c r="U6" i="14" s="1"/>
  <c r="K17" i="17"/>
  <c r="L17" i="17"/>
  <c r="M17" i="17"/>
  <c r="N17" i="17"/>
  <c r="O17" i="17"/>
  <c r="Q17" i="17"/>
  <c r="R17" i="17" s="1"/>
  <c r="R31" i="17" s="1"/>
  <c r="T17" i="17" s="1"/>
  <c r="K18" i="17"/>
  <c r="D79" i="1" s="1"/>
  <c r="L18" i="17"/>
  <c r="M18" i="17"/>
  <c r="N18" i="17"/>
  <c r="O18" i="17"/>
  <c r="Q18" i="17"/>
  <c r="R18" i="17" s="1"/>
  <c r="H6" i="18"/>
  <c r="H7" i="18" s="1"/>
  <c r="G20" i="18"/>
  <c r="G21" i="18"/>
  <c r="G22" i="18"/>
  <c r="G23" i="18"/>
  <c r="G24" i="18"/>
  <c r="G25" i="18"/>
  <c r="G26" i="18"/>
  <c r="G27" i="18"/>
  <c r="E13" i="7"/>
  <c r="I20" i="18"/>
  <c r="J20" i="18" s="1"/>
  <c r="I21" i="18"/>
  <c r="J21" i="18" s="1"/>
  <c r="I22" i="18"/>
  <c r="J22" i="18" s="1"/>
  <c r="I23" i="18"/>
  <c r="J23" i="18" s="1"/>
  <c r="I24" i="18"/>
  <c r="J24" i="18" s="1"/>
  <c r="I25" i="18"/>
  <c r="J25" i="18" s="1"/>
  <c r="I26" i="18"/>
  <c r="J26" i="18" s="1"/>
  <c r="I27" i="18"/>
  <c r="J27" i="18" s="1"/>
  <c r="K19" i="17"/>
  <c r="L19" i="17"/>
  <c r="M19" i="17"/>
  <c r="N19" i="17"/>
  <c r="O19" i="17"/>
  <c r="Q19" i="17"/>
  <c r="R19" i="17" s="1"/>
  <c r="N20" i="17"/>
  <c r="K20" i="17"/>
  <c r="L20" i="17"/>
  <c r="M20" i="17"/>
  <c r="O20" i="17"/>
  <c r="Q20" i="17"/>
  <c r="R20" i="17" s="1"/>
  <c r="K21" i="17"/>
  <c r="L21" i="17"/>
  <c r="M21" i="17"/>
  <c r="N21" i="17"/>
  <c r="O21" i="17"/>
  <c r="Q21" i="17"/>
  <c r="R21" i="17" s="1"/>
  <c r="C20" i="18"/>
  <c r="C21" i="18"/>
  <c r="C22" i="18"/>
  <c r="C23" i="18"/>
  <c r="C24" i="18"/>
  <c r="C25" i="18"/>
  <c r="C26" i="18"/>
  <c r="C27" i="18"/>
  <c r="C28" i="18"/>
  <c r="D2" i="34"/>
  <c r="Y3" i="34"/>
  <c r="AA3" i="34"/>
  <c r="AB3" i="34"/>
  <c r="AC3" i="34"/>
  <c r="Y4" i="34"/>
  <c r="Y5" i="34"/>
  <c r="Y6" i="34"/>
  <c r="D8" i="34"/>
  <c r="AJ22" i="2"/>
  <c r="B7" i="14" s="1"/>
  <c r="F22" i="34"/>
  <c r="AJ23" i="2"/>
  <c r="F23" i="34"/>
  <c r="AJ24" i="2"/>
  <c r="F24" i="34"/>
  <c r="AJ25" i="2"/>
  <c r="F25" i="34"/>
  <c r="AJ26" i="2"/>
  <c r="F26" i="34"/>
  <c r="AJ27" i="2"/>
  <c r="F27" i="34"/>
  <c r="AJ28" i="2"/>
  <c r="F28" i="34"/>
  <c r="AJ29" i="2"/>
  <c r="F29" i="34"/>
  <c r="AJ30" i="2"/>
  <c r="F30" i="34"/>
  <c r="AJ31" i="2"/>
  <c r="F31" i="34"/>
  <c r="AJ32" i="2"/>
  <c r="F32" i="34" s="1"/>
  <c r="AJ22" i="3"/>
  <c r="G22" i="34"/>
  <c r="AJ23" i="3"/>
  <c r="G23" i="34"/>
  <c r="AJ24" i="3"/>
  <c r="G24" i="34"/>
  <c r="AJ25" i="3"/>
  <c r="G25" i="34"/>
  <c r="AJ26" i="3"/>
  <c r="G26" i="34"/>
  <c r="AJ27" i="3"/>
  <c r="G27" i="34"/>
  <c r="AJ28" i="3"/>
  <c r="G28" i="34"/>
  <c r="AJ29" i="3"/>
  <c r="G29" i="34"/>
  <c r="AJ30" i="3"/>
  <c r="G30" i="34"/>
  <c r="AJ31" i="3"/>
  <c r="G31" i="34"/>
  <c r="AJ32" i="3"/>
  <c r="G32" i="34"/>
  <c r="AJ22" i="4"/>
  <c r="H22" i="34" s="1"/>
  <c r="AJ23" i="4"/>
  <c r="H23" i="34"/>
  <c r="AJ24" i="4"/>
  <c r="H24" i="34"/>
  <c r="AJ25" i="4"/>
  <c r="H25" i="34"/>
  <c r="AJ26" i="4"/>
  <c r="H26" i="34"/>
  <c r="AJ27" i="4"/>
  <c r="H27" i="34"/>
  <c r="AJ28" i="4"/>
  <c r="H28" i="34"/>
  <c r="AJ29" i="4"/>
  <c r="H29" i="34"/>
  <c r="AJ30" i="4"/>
  <c r="H30" i="34"/>
  <c r="AJ31" i="4"/>
  <c r="H31" i="34"/>
  <c r="AJ32" i="4"/>
  <c r="H32" i="34"/>
  <c r="AJ22" i="5"/>
  <c r="I22" i="34"/>
  <c r="AJ23" i="5"/>
  <c r="I23" i="34"/>
  <c r="AJ24" i="5"/>
  <c r="I24" i="34"/>
  <c r="AJ25" i="5"/>
  <c r="I25" i="34"/>
  <c r="AJ26" i="5"/>
  <c r="I26" i="34"/>
  <c r="AJ27" i="5"/>
  <c r="I27" i="34"/>
  <c r="AJ28" i="5"/>
  <c r="I28" i="34"/>
  <c r="AJ29" i="5"/>
  <c r="I29" i="34"/>
  <c r="AJ30" i="5"/>
  <c r="I30" i="34"/>
  <c r="AJ31" i="5"/>
  <c r="I31" i="34"/>
  <c r="AJ32" i="5"/>
  <c r="I32" i="34"/>
  <c r="AJ22" i="6"/>
  <c r="J22" i="34"/>
  <c r="AJ23" i="6"/>
  <c r="J23" i="34"/>
  <c r="AJ24" i="6"/>
  <c r="J24" i="34"/>
  <c r="AJ25" i="6"/>
  <c r="J25" i="34"/>
  <c r="AJ26" i="6"/>
  <c r="J26" i="34"/>
  <c r="AJ27" i="6"/>
  <c r="J27" i="34"/>
  <c r="AJ28" i="6"/>
  <c r="J28" i="34"/>
  <c r="AJ29" i="6"/>
  <c r="J29" i="34"/>
  <c r="AJ30" i="6"/>
  <c r="J30" i="34"/>
  <c r="AJ31" i="6"/>
  <c r="J31" i="34"/>
  <c r="AJ32" i="6"/>
  <c r="J32" i="34"/>
  <c r="AJ22" i="7"/>
  <c r="K22" i="34"/>
  <c r="AJ23" i="7"/>
  <c r="K23" i="34"/>
  <c r="AJ24" i="7"/>
  <c r="K24" i="34"/>
  <c r="AJ25" i="7"/>
  <c r="K25" i="34"/>
  <c r="AJ26" i="7"/>
  <c r="K26" i="34"/>
  <c r="AJ27" i="7"/>
  <c r="K27" i="34"/>
  <c r="AJ28" i="7"/>
  <c r="K28" i="34"/>
  <c r="AJ29" i="7"/>
  <c r="K29" i="34"/>
  <c r="AJ30" i="7"/>
  <c r="K30" i="34"/>
  <c r="AJ31" i="7"/>
  <c r="K31" i="34"/>
  <c r="AJ32" i="7"/>
  <c r="K32" i="34"/>
  <c r="AJ22" i="8"/>
  <c r="L22" i="34"/>
  <c r="AJ23" i="8"/>
  <c r="L23" i="34"/>
  <c r="AJ24" i="8"/>
  <c r="L24" i="34"/>
  <c r="AJ25" i="8"/>
  <c r="L25" i="34"/>
  <c r="AJ26" i="8"/>
  <c r="L26" i="34"/>
  <c r="AJ27" i="8"/>
  <c r="L27" i="34"/>
  <c r="AJ28" i="8"/>
  <c r="L28" i="34"/>
  <c r="AJ29" i="8"/>
  <c r="L29" i="34"/>
  <c r="AJ30" i="8"/>
  <c r="L30" i="34"/>
  <c r="AJ31" i="8"/>
  <c r="L31" i="34"/>
  <c r="AJ32" i="8"/>
  <c r="L32" i="34"/>
  <c r="L8" i="34"/>
  <c r="AJ22" i="9"/>
  <c r="M22" i="34"/>
  <c r="AJ23" i="9"/>
  <c r="M23" i="34"/>
  <c r="AJ24" i="9"/>
  <c r="M24" i="34"/>
  <c r="AJ25" i="9"/>
  <c r="M25" i="34"/>
  <c r="AJ26" i="9"/>
  <c r="M26" i="34"/>
  <c r="AJ27" i="9"/>
  <c r="M27" i="34"/>
  <c r="AJ28" i="9"/>
  <c r="M28" i="34"/>
  <c r="AJ29" i="9"/>
  <c r="M29" i="34"/>
  <c r="AJ30" i="9"/>
  <c r="M30" i="34"/>
  <c r="AJ31" i="9"/>
  <c r="M31" i="34"/>
  <c r="AJ32" i="9"/>
  <c r="M32" i="34"/>
  <c r="AJ22" i="10"/>
  <c r="N22" i="34"/>
  <c r="AJ23" i="10"/>
  <c r="N23" i="34"/>
  <c r="AJ24" i="10"/>
  <c r="N24" i="34"/>
  <c r="AJ25" i="10"/>
  <c r="N25" i="34"/>
  <c r="AJ26" i="10"/>
  <c r="N26" i="34"/>
  <c r="AJ27" i="10"/>
  <c r="N27" i="34"/>
  <c r="AJ28" i="10"/>
  <c r="N28" i="34"/>
  <c r="AJ29" i="10"/>
  <c r="N29" i="34"/>
  <c r="AJ30" i="10"/>
  <c r="N30" i="34"/>
  <c r="AJ31" i="10"/>
  <c r="N31" i="34"/>
  <c r="AJ32" i="10"/>
  <c r="N32" i="34"/>
  <c r="AJ22" i="11"/>
  <c r="O22" i="34"/>
  <c r="AJ23" i="11"/>
  <c r="O23" i="34"/>
  <c r="AJ24" i="11"/>
  <c r="O24" i="34"/>
  <c r="AJ25" i="11"/>
  <c r="O25" i="34"/>
  <c r="AJ26" i="11"/>
  <c r="O26" i="34"/>
  <c r="AJ27" i="11"/>
  <c r="O27" i="34"/>
  <c r="AJ28" i="11"/>
  <c r="O28" i="34"/>
  <c r="AJ29" i="11"/>
  <c r="O29" i="34"/>
  <c r="AJ30" i="11"/>
  <c r="O30" i="34"/>
  <c r="AJ31" i="11"/>
  <c r="O31" i="34"/>
  <c r="AJ32" i="11"/>
  <c r="O32" i="34"/>
  <c r="AJ22" i="12"/>
  <c r="P22" i="34"/>
  <c r="AJ23" i="12"/>
  <c r="P23" i="34"/>
  <c r="AJ24" i="12"/>
  <c r="P24" i="34"/>
  <c r="AJ25" i="12"/>
  <c r="P25" i="34"/>
  <c r="AJ26" i="12"/>
  <c r="P26" i="34"/>
  <c r="AJ27" i="12"/>
  <c r="P27" i="34"/>
  <c r="AJ28" i="12"/>
  <c r="P28" i="34"/>
  <c r="AJ29" i="12"/>
  <c r="P29" i="34"/>
  <c r="AJ30" i="12"/>
  <c r="P30" i="34"/>
  <c r="AJ31" i="12"/>
  <c r="P31" i="34"/>
  <c r="AJ32" i="12"/>
  <c r="P32" i="34"/>
  <c r="AJ22" i="13"/>
  <c r="Q22" i="34"/>
  <c r="AJ23" i="13"/>
  <c r="Q23" i="34"/>
  <c r="AJ24" i="13"/>
  <c r="Q24" i="34"/>
  <c r="AJ25" i="13"/>
  <c r="Q25" i="34"/>
  <c r="AJ26" i="13"/>
  <c r="Q26" i="34"/>
  <c r="AJ27" i="13"/>
  <c r="Q27" i="34"/>
  <c r="AJ28" i="13"/>
  <c r="Q28" i="34"/>
  <c r="AJ29" i="13"/>
  <c r="Q29" i="34"/>
  <c r="AJ30" i="13"/>
  <c r="Q30" i="34"/>
  <c r="AJ31" i="13"/>
  <c r="Q31" i="34"/>
  <c r="AJ32" i="13"/>
  <c r="Q32" i="34"/>
  <c r="D9" i="34"/>
  <c r="AJ41" i="2"/>
  <c r="F41" i="34"/>
  <c r="T41" i="34" s="1"/>
  <c r="AJ41" i="3"/>
  <c r="G41" i="34"/>
  <c r="AJ41" i="4"/>
  <c r="H41" i="34"/>
  <c r="AJ42" i="2"/>
  <c r="F42" i="34"/>
  <c r="AJ43" i="2"/>
  <c r="F43" i="34"/>
  <c r="AJ44" i="2"/>
  <c r="F44" i="34"/>
  <c r="AJ45" i="2"/>
  <c r="F45" i="34"/>
  <c r="AJ46" i="2"/>
  <c r="F46" i="34"/>
  <c r="AJ47" i="2"/>
  <c r="F47" i="34"/>
  <c r="AJ48" i="2"/>
  <c r="F48" i="34"/>
  <c r="AJ49" i="2"/>
  <c r="F49" i="34"/>
  <c r="AJ50" i="2"/>
  <c r="F50" i="34"/>
  <c r="AJ51" i="2"/>
  <c r="F51" i="34"/>
  <c r="AJ52" i="2"/>
  <c r="F52" i="34"/>
  <c r="AJ53" i="2"/>
  <c r="F53" i="34"/>
  <c r="AJ54" i="2"/>
  <c r="F54" i="34"/>
  <c r="AJ55" i="2"/>
  <c r="F55" i="34"/>
  <c r="AJ56" i="2"/>
  <c r="F56" i="34"/>
  <c r="AJ42" i="3"/>
  <c r="G42" i="34"/>
  <c r="AJ43" i="3"/>
  <c r="G43" i="34"/>
  <c r="AJ44" i="3"/>
  <c r="G44" i="34"/>
  <c r="AJ45" i="3"/>
  <c r="G45" i="34"/>
  <c r="AJ46" i="3"/>
  <c r="G46" i="34"/>
  <c r="AJ47" i="3"/>
  <c r="G47" i="34"/>
  <c r="AJ48" i="3"/>
  <c r="G48" i="34"/>
  <c r="AJ49" i="3"/>
  <c r="G49" i="34"/>
  <c r="AJ50" i="3"/>
  <c r="G50" i="34"/>
  <c r="AJ51" i="3"/>
  <c r="G51" i="34"/>
  <c r="AJ52" i="3"/>
  <c r="G52" i="34"/>
  <c r="AJ53" i="3"/>
  <c r="G53" i="34"/>
  <c r="AJ54" i="3"/>
  <c r="G54" i="34"/>
  <c r="AJ55" i="3"/>
  <c r="G55" i="34"/>
  <c r="AJ56" i="3"/>
  <c r="G56" i="34"/>
  <c r="AJ42" i="4"/>
  <c r="H42" i="34"/>
  <c r="AJ43" i="4"/>
  <c r="H43" i="34"/>
  <c r="AJ44" i="4"/>
  <c r="H44" i="34"/>
  <c r="AJ45" i="4"/>
  <c r="H45" i="34"/>
  <c r="AJ46" i="4"/>
  <c r="H46" i="34"/>
  <c r="AJ47" i="4"/>
  <c r="H47" i="34"/>
  <c r="AJ48" i="4"/>
  <c r="H48" i="34"/>
  <c r="AJ49" i="4"/>
  <c r="H49" i="34"/>
  <c r="AJ50" i="4"/>
  <c r="H50" i="34"/>
  <c r="AJ51" i="4"/>
  <c r="H51" i="34"/>
  <c r="AJ52" i="4"/>
  <c r="H52" i="34"/>
  <c r="AJ53" i="4"/>
  <c r="H53" i="34"/>
  <c r="AJ54" i="4"/>
  <c r="H54" i="34"/>
  <c r="AJ55" i="4"/>
  <c r="H55" i="34"/>
  <c r="AJ56" i="4"/>
  <c r="H56" i="34"/>
  <c r="AJ41" i="5"/>
  <c r="I41" i="34"/>
  <c r="AJ42" i="5"/>
  <c r="I42" i="34"/>
  <c r="AJ43" i="5"/>
  <c r="I43" i="34"/>
  <c r="AJ44" i="5"/>
  <c r="I44" i="34"/>
  <c r="AJ45" i="5"/>
  <c r="I45" i="34"/>
  <c r="AJ46" i="5"/>
  <c r="I46" i="34"/>
  <c r="AJ47" i="5"/>
  <c r="I47" i="34"/>
  <c r="AJ48" i="5"/>
  <c r="I48" i="34"/>
  <c r="AJ49" i="5"/>
  <c r="I49" i="34"/>
  <c r="AJ50" i="5"/>
  <c r="I50" i="34"/>
  <c r="AJ51" i="5"/>
  <c r="I51" i="34"/>
  <c r="AJ52" i="5"/>
  <c r="I52" i="34"/>
  <c r="AJ53" i="5"/>
  <c r="I53" i="34"/>
  <c r="AJ54" i="5"/>
  <c r="I54" i="34"/>
  <c r="AJ55" i="5"/>
  <c r="I55" i="34"/>
  <c r="AJ56" i="5"/>
  <c r="I56" i="34"/>
  <c r="AJ41" i="6"/>
  <c r="J41" i="34"/>
  <c r="AJ42" i="6"/>
  <c r="J42" i="34"/>
  <c r="AJ43" i="6"/>
  <c r="J43" i="34"/>
  <c r="AJ44" i="6"/>
  <c r="J44" i="34"/>
  <c r="AJ45" i="6"/>
  <c r="J45" i="34"/>
  <c r="AJ46" i="6"/>
  <c r="J46" i="34"/>
  <c r="AJ47" i="6"/>
  <c r="J47" i="34"/>
  <c r="AJ48" i="6"/>
  <c r="J48" i="34"/>
  <c r="AJ49" i="6"/>
  <c r="J49" i="34"/>
  <c r="AJ50" i="6"/>
  <c r="J50" i="34"/>
  <c r="AJ51" i="6"/>
  <c r="J51" i="34"/>
  <c r="AJ52" i="6"/>
  <c r="J52" i="34"/>
  <c r="AJ53" i="6"/>
  <c r="J53" i="34"/>
  <c r="AJ54" i="6"/>
  <c r="J54" i="34"/>
  <c r="AJ55" i="6"/>
  <c r="J55" i="34"/>
  <c r="AJ56" i="6"/>
  <c r="J56" i="34"/>
  <c r="AJ41" i="7"/>
  <c r="K41" i="34"/>
  <c r="AJ42" i="7"/>
  <c r="K42" i="34"/>
  <c r="AJ43" i="7"/>
  <c r="K43" i="34"/>
  <c r="AJ44" i="7"/>
  <c r="K44" i="34"/>
  <c r="AJ45" i="7"/>
  <c r="K45" i="34"/>
  <c r="AJ46" i="7"/>
  <c r="K46" i="34"/>
  <c r="AJ47" i="7"/>
  <c r="K47" i="34"/>
  <c r="AJ48" i="7"/>
  <c r="K48" i="34"/>
  <c r="AJ49" i="7"/>
  <c r="K49" i="34"/>
  <c r="AJ50" i="7"/>
  <c r="K50" i="34"/>
  <c r="AJ51" i="7"/>
  <c r="K51" i="34"/>
  <c r="AJ52" i="7"/>
  <c r="K52" i="34"/>
  <c r="AJ53" i="7"/>
  <c r="K53" i="34"/>
  <c r="AJ54" i="7"/>
  <c r="K54" i="34"/>
  <c r="AJ55" i="7"/>
  <c r="K55" i="34"/>
  <c r="AJ56" i="7"/>
  <c r="K56" i="34"/>
  <c r="AJ41" i="8"/>
  <c r="L41" i="34"/>
  <c r="AJ42" i="8"/>
  <c r="L42" i="34"/>
  <c r="AJ43" i="8"/>
  <c r="L43" i="34"/>
  <c r="AJ44" i="8"/>
  <c r="L44" i="34"/>
  <c r="AJ45" i="8"/>
  <c r="L45" i="34"/>
  <c r="AJ46" i="8"/>
  <c r="L46" i="34"/>
  <c r="AJ47" i="8"/>
  <c r="L47" i="34"/>
  <c r="AJ48" i="8"/>
  <c r="L48" i="34"/>
  <c r="AJ49" i="8"/>
  <c r="L49" i="34"/>
  <c r="AJ50" i="8"/>
  <c r="L50" i="34"/>
  <c r="AJ51" i="8"/>
  <c r="L51" i="34"/>
  <c r="AJ52" i="8"/>
  <c r="L52" i="34"/>
  <c r="AJ53" i="8"/>
  <c r="L53" i="34"/>
  <c r="AJ54" i="8"/>
  <c r="L54" i="34"/>
  <c r="AJ55" i="8"/>
  <c r="L55" i="34"/>
  <c r="AJ56" i="8"/>
  <c r="L56" i="34"/>
  <c r="AJ41" i="9"/>
  <c r="M41" i="34"/>
  <c r="AJ42" i="9"/>
  <c r="M42" i="34"/>
  <c r="AJ43" i="9"/>
  <c r="M43" i="34"/>
  <c r="AJ44" i="9"/>
  <c r="M44" i="34"/>
  <c r="AJ45" i="9"/>
  <c r="M45" i="34"/>
  <c r="AJ46" i="9"/>
  <c r="M46" i="34"/>
  <c r="AJ47" i="9"/>
  <c r="M47" i="34"/>
  <c r="AJ48" i="9"/>
  <c r="M48" i="34"/>
  <c r="AJ49" i="9"/>
  <c r="M49" i="34"/>
  <c r="AJ50" i="9"/>
  <c r="M50" i="34"/>
  <c r="AJ51" i="9"/>
  <c r="M51" i="34"/>
  <c r="AJ52" i="9"/>
  <c r="M52" i="34"/>
  <c r="AJ53" i="9"/>
  <c r="M53" i="34"/>
  <c r="AJ54" i="9"/>
  <c r="M54" i="34"/>
  <c r="AJ55" i="9"/>
  <c r="M55" i="34"/>
  <c r="AJ56" i="9"/>
  <c r="M56" i="34"/>
  <c r="AJ41" i="10"/>
  <c r="N41" i="34"/>
  <c r="AJ42" i="10"/>
  <c r="N42" i="34"/>
  <c r="AJ43" i="10"/>
  <c r="N43" i="34"/>
  <c r="AJ44" i="10"/>
  <c r="N44" i="34"/>
  <c r="AJ45" i="10"/>
  <c r="N45" i="34"/>
  <c r="AJ46" i="10"/>
  <c r="N46" i="34"/>
  <c r="AJ47" i="10"/>
  <c r="N47" i="34"/>
  <c r="AJ48" i="10"/>
  <c r="N48" i="34"/>
  <c r="AJ49" i="10"/>
  <c r="N49" i="34"/>
  <c r="AJ50" i="10"/>
  <c r="N50" i="34"/>
  <c r="AJ51" i="10"/>
  <c r="N51" i="34"/>
  <c r="AJ52" i="10"/>
  <c r="N52" i="34"/>
  <c r="AJ53" i="10"/>
  <c r="N53" i="34"/>
  <c r="AJ54" i="10"/>
  <c r="N54" i="34"/>
  <c r="AJ55" i="10"/>
  <c r="N55" i="34"/>
  <c r="AJ56" i="10"/>
  <c r="N56" i="34"/>
  <c r="AJ41" i="11"/>
  <c r="O41" i="34"/>
  <c r="AJ42" i="11"/>
  <c r="O42" i="34"/>
  <c r="AJ43" i="11"/>
  <c r="O43" i="34"/>
  <c r="AJ44" i="11"/>
  <c r="O44" i="34"/>
  <c r="AJ45" i="11"/>
  <c r="O45" i="34"/>
  <c r="AJ46" i="11"/>
  <c r="O46" i="34"/>
  <c r="AJ47" i="11"/>
  <c r="O47" i="34"/>
  <c r="AJ48" i="11"/>
  <c r="O48" i="34"/>
  <c r="AJ49" i="11"/>
  <c r="O49" i="34"/>
  <c r="AJ50" i="11"/>
  <c r="O50" i="34"/>
  <c r="AJ51" i="11"/>
  <c r="O51" i="34"/>
  <c r="AJ52" i="11"/>
  <c r="O52" i="34"/>
  <c r="AJ53" i="11"/>
  <c r="O53" i="34"/>
  <c r="AJ54" i="11"/>
  <c r="O54" i="34"/>
  <c r="AJ55" i="11"/>
  <c r="O55" i="34"/>
  <c r="AJ56" i="11"/>
  <c r="O56" i="34"/>
  <c r="AJ41" i="12"/>
  <c r="P41" i="34"/>
  <c r="AJ42" i="12"/>
  <c r="P42" i="34"/>
  <c r="AJ43" i="12"/>
  <c r="P43" i="34"/>
  <c r="AJ44" i="12"/>
  <c r="P44" i="34"/>
  <c r="AJ45" i="12"/>
  <c r="P45" i="34"/>
  <c r="AJ46" i="12"/>
  <c r="P46" i="34"/>
  <c r="AJ47" i="12"/>
  <c r="P47" i="34"/>
  <c r="AJ48" i="12"/>
  <c r="P48" i="34"/>
  <c r="AJ49" i="12"/>
  <c r="P49" i="34"/>
  <c r="AJ50" i="12"/>
  <c r="P50" i="34"/>
  <c r="AJ51" i="12"/>
  <c r="P51" i="34"/>
  <c r="AJ52" i="12"/>
  <c r="P52" i="34"/>
  <c r="AJ53" i="12"/>
  <c r="P53" i="34"/>
  <c r="AJ54" i="12"/>
  <c r="P54" i="34"/>
  <c r="AJ55" i="12"/>
  <c r="P55" i="34"/>
  <c r="AJ56" i="12"/>
  <c r="P56" i="34"/>
  <c r="AJ41" i="13"/>
  <c r="Q41" i="34"/>
  <c r="AJ42" i="13"/>
  <c r="Q42" i="34"/>
  <c r="AJ43" i="13"/>
  <c r="Q43" i="34"/>
  <c r="AJ44" i="13"/>
  <c r="Q44" i="34"/>
  <c r="AJ45" i="13"/>
  <c r="Q45" i="34"/>
  <c r="AJ46" i="13"/>
  <c r="Q46" i="34"/>
  <c r="AJ47" i="13"/>
  <c r="Q47" i="34"/>
  <c r="AJ48" i="13"/>
  <c r="Q48" i="34"/>
  <c r="AJ49" i="13"/>
  <c r="Q49" i="34"/>
  <c r="AJ50" i="13"/>
  <c r="Q50" i="34"/>
  <c r="AJ51" i="13"/>
  <c r="Q51" i="34"/>
  <c r="AJ52" i="13"/>
  <c r="Q52" i="34"/>
  <c r="AJ53" i="13"/>
  <c r="Q53" i="34"/>
  <c r="AJ54" i="13"/>
  <c r="Q54" i="34"/>
  <c r="AJ55" i="13"/>
  <c r="Q55" i="34"/>
  <c r="AJ56" i="13"/>
  <c r="Q56" i="34"/>
  <c r="D10" i="34"/>
  <c r="AJ57" i="2"/>
  <c r="F57" i="34"/>
  <c r="AJ58" i="2"/>
  <c r="F58" i="34"/>
  <c r="AJ59" i="2"/>
  <c r="F59" i="34"/>
  <c r="AJ60" i="2"/>
  <c r="F60" i="34"/>
  <c r="AJ61" i="2"/>
  <c r="F61" i="34"/>
  <c r="AJ62" i="2"/>
  <c r="F62" i="34"/>
  <c r="AJ63" i="2"/>
  <c r="F63" i="34"/>
  <c r="AJ64" i="2"/>
  <c r="F64" i="34"/>
  <c r="AJ65" i="2"/>
  <c r="F65" i="34"/>
  <c r="AJ66" i="2"/>
  <c r="F66" i="34"/>
  <c r="AJ67" i="2"/>
  <c r="F67" i="34"/>
  <c r="AJ68" i="2"/>
  <c r="F68" i="34"/>
  <c r="AJ57" i="3"/>
  <c r="G57" i="34"/>
  <c r="AJ58" i="3"/>
  <c r="G58" i="34"/>
  <c r="AJ59" i="3"/>
  <c r="G59" i="34"/>
  <c r="AJ60" i="3"/>
  <c r="G60" i="34"/>
  <c r="AJ61" i="3"/>
  <c r="G61" i="34"/>
  <c r="AJ62" i="3"/>
  <c r="G62" i="34"/>
  <c r="AJ63" i="3"/>
  <c r="G63" i="34"/>
  <c r="AJ64" i="3"/>
  <c r="G64" i="34"/>
  <c r="AJ65" i="3"/>
  <c r="G65" i="34"/>
  <c r="AJ66" i="3"/>
  <c r="G66" i="34"/>
  <c r="AJ67" i="3"/>
  <c r="G67" i="34"/>
  <c r="AJ68" i="3"/>
  <c r="G68" i="34"/>
  <c r="AJ57" i="4"/>
  <c r="H57" i="34"/>
  <c r="AJ58" i="4"/>
  <c r="H58" i="34"/>
  <c r="AJ59" i="4"/>
  <c r="H59" i="34"/>
  <c r="AJ60" i="4"/>
  <c r="H60" i="34"/>
  <c r="AJ61" i="4"/>
  <c r="H61" i="34"/>
  <c r="AJ62" i="4"/>
  <c r="H62" i="34"/>
  <c r="AJ63" i="4"/>
  <c r="H63" i="34"/>
  <c r="AJ64" i="4"/>
  <c r="H64" i="34"/>
  <c r="AJ65" i="4"/>
  <c r="H65" i="34"/>
  <c r="AJ66" i="4"/>
  <c r="H66" i="34"/>
  <c r="AJ67" i="4"/>
  <c r="H67" i="34"/>
  <c r="AJ68" i="4"/>
  <c r="H68" i="34"/>
  <c r="AJ57" i="5"/>
  <c r="I57" i="34"/>
  <c r="AJ58" i="5"/>
  <c r="I58" i="34"/>
  <c r="AJ59" i="5"/>
  <c r="I59" i="34"/>
  <c r="AJ60" i="5"/>
  <c r="I60" i="34"/>
  <c r="AJ61" i="5"/>
  <c r="I61" i="34"/>
  <c r="AJ62" i="5"/>
  <c r="I62" i="34"/>
  <c r="AJ63" i="5"/>
  <c r="I63" i="34"/>
  <c r="AJ64" i="5"/>
  <c r="I64" i="34"/>
  <c r="AJ65" i="5"/>
  <c r="I65" i="34"/>
  <c r="AJ66" i="5"/>
  <c r="I66" i="34"/>
  <c r="AJ67" i="5"/>
  <c r="I67" i="34"/>
  <c r="AJ68" i="5"/>
  <c r="I68" i="34"/>
  <c r="AJ57" i="6"/>
  <c r="J57" i="34"/>
  <c r="AJ58" i="6"/>
  <c r="J58" i="34"/>
  <c r="AJ59" i="6"/>
  <c r="J59" i="34"/>
  <c r="AJ60" i="6"/>
  <c r="J60" i="34"/>
  <c r="AJ61" i="6"/>
  <c r="J61" i="34"/>
  <c r="AJ62" i="6"/>
  <c r="J62" i="34"/>
  <c r="AJ63" i="6"/>
  <c r="J63" i="34"/>
  <c r="AJ64" i="6"/>
  <c r="J64" i="34"/>
  <c r="AJ65" i="6"/>
  <c r="J65" i="34"/>
  <c r="AJ66" i="6"/>
  <c r="J66" i="34"/>
  <c r="AJ67" i="6"/>
  <c r="J67" i="34"/>
  <c r="AJ68" i="6"/>
  <c r="J68" i="34"/>
  <c r="AJ57" i="7"/>
  <c r="K57" i="34"/>
  <c r="AJ58" i="7"/>
  <c r="K58" i="34"/>
  <c r="AJ59" i="7"/>
  <c r="K59" i="34"/>
  <c r="AJ60" i="7"/>
  <c r="K60" i="34"/>
  <c r="AJ61" i="7"/>
  <c r="K61" i="34"/>
  <c r="AJ62" i="7"/>
  <c r="K62" i="34"/>
  <c r="AJ63" i="7"/>
  <c r="K63" i="34"/>
  <c r="AJ64" i="7"/>
  <c r="K64" i="34"/>
  <c r="AJ65" i="7"/>
  <c r="K65" i="34"/>
  <c r="AJ66" i="7"/>
  <c r="K66" i="34"/>
  <c r="AJ67" i="7"/>
  <c r="K67" i="34"/>
  <c r="AJ68" i="7"/>
  <c r="K68" i="34"/>
  <c r="AJ57" i="8"/>
  <c r="L57" i="34"/>
  <c r="AJ58" i="8"/>
  <c r="L58" i="34"/>
  <c r="AJ59" i="8"/>
  <c r="L59" i="34"/>
  <c r="AJ60" i="8"/>
  <c r="L60" i="34"/>
  <c r="AJ61" i="8"/>
  <c r="L61" i="34"/>
  <c r="AJ62" i="8"/>
  <c r="L62" i="34"/>
  <c r="AJ63" i="8"/>
  <c r="L63" i="34"/>
  <c r="AJ64" i="8"/>
  <c r="L64" i="34"/>
  <c r="AJ65" i="8"/>
  <c r="L65" i="34"/>
  <c r="AJ66" i="8"/>
  <c r="L66" i="34"/>
  <c r="AJ67" i="8"/>
  <c r="L67" i="34"/>
  <c r="AJ68" i="8"/>
  <c r="L68" i="34"/>
  <c r="AJ57" i="9"/>
  <c r="M57" i="34"/>
  <c r="AJ58" i="9"/>
  <c r="M58" i="34"/>
  <c r="AJ59" i="9"/>
  <c r="M59" i="34"/>
  <c r="AJ60" i="9"/>
  <c r="M60" i="34"/>
  <c r="AJ61" i="9"/>
  <c r="M61" i="34"/>
  <c r="AJ62" i="9"/>
  <c r="M62" i="34"/>
  <c r="AJ63" i="9"/>
  <c r="M63" i="34"/>
  <c r="AJ64" i="9"/>
  <c r="M64" i="34"/>
  <c r="AJ65" i="9"/>
  <c r="M65" i="34"/>
  <c r="AJ66" i="9"/>
  <c r="M66" i="34"/>
  <c r="AJ67" i="9"/>
  <c r="M67" i="34"/>
  <c r="AJ68" i="9"/>
  <c r="M68" i="34"/>
  <c r="AJ57" i="10"/>
  <c r="N57" i="34"/>
  <c r="AJ58" i="10"/>
  <c r="N58" i="34"/>
  <c r="AJ59" i="10"/>
  <c r="N59" i="34"/>
  <c r="AJ60" i="10"/>
  <c r="N60" i="34"/>
  <c r="AJ61" i="10"/>
  <c r="N61" i="34"/>
  <c r="AJ62" i="10"/>
  <c r="N62" i="34"/>
  <c r="AJ63" i="10"/>
  <c r="N63" i="34"/>
  <c r="AJ64" i="10"/>
  <c r="N64" i="34"/>
  <c r="AJ65" i="10"/>
  <c r="N65" i="34"/>
  <c r="AJ66" i="10"/>
  <c r="N66" i="34"/>
  <c r="AJ67" i="10"/>
  <c r="N67" i="34"/>
  <c r="AJ68" i="10"/>
  <c r="N68" i="34"/>
  <c r="AJ57" i="11"/>
  <c r="O57" i="34"/>
  <c r="AJ58" i="11"/>
  <c r="O58" i="34"/>
  <c r="AJ59" i="11"/>
  <c r="O59" i="34"/>
  <c r="AJ60" i="11"/>
  <c r="O60" i="34"/>
  <c r="AJ61" i="11"/>
  <c r="O61" i="34"/>
  <c r="AJ62" i="11"/>
  <c r="O62" i="34"/>
  <c r="AJ63" i="11"/>
  <c r="O63" i="34"/>
  <c r="AJ64" i="11"/>
  <c r="O64" i="34"/>
  <c r="AJ65" i="11"/>
  <c r="O65" i="34"/>
  <c r="AJ66" i="11"/>
  <c r="O66" i="34"/>
  <c r="AJ67" i="11"/>
  <c r="O67" i="34"/>
  <c r="AJ68" i="11"/>
  <c r="O68" i="34"/>
  <c r="AJ57" i="12"/>
  <c r="P57" i="34"/>
  <c r="AJ58" i="12"/>
  <c r="P58" i="34"/>
  <c r="AJ59" i="12"/>
  <c r="P59" i="34"/>
  <c r="AJ60" i="12"/>
  <c r="P60" i="34"/>
  <c r="AJ61" i="12"/>
  <c r="P61" i="34"/>
  <c r="AJ62" i="12"/>
  <c r="P62" i="34"/>
  <c r="AJ63" i="12"/>
  <c r="P63" i="34"/>
  <c r="AJ64" i="12"/>
  <c r="P64" i="34"/>
  <c r="AJ65" i="12"/>
  <c r="P65" i="34"/>
  <c r="AJ66" i="12"/>
  <c r="P66" i="34"/>
  <c r="AJ67" i="12"/>
  <c r="P67" i="34"/>
  <c r="AJ68" i="12"/>
  <c r="P68" i="34"/>
  <c r="AJ57" i="13"/>
  <c r="Q57" i="34"/>
  <c r="AJ58" i="13"/>
  <c r="Q58" i="34"/>
  <c r="AJ59" i="13"/>
  <c r="Q59" i="34"/>
  <c r="AJ60" i="13"/>
  <c r="Q60" i="34"/>
  <c r="AJ61" i="13"/>
  <c r="Q61" i="34"/>
  <c r="AJ62" i="13"/>
  <c r="Q62" i="34"/>
  <c r="AJ63" i="13"/>
  <c r="Q63" i="34"/>
  <c r="AJ64" i="13"/>
  <c r="Q64" i="34"/>
  <c r="AJ65" i="13"/>
  <c r="Q65" i="34"/>
  <c r="AJ66" i="13"/>
  <c r="Q66" i="34"/>
  <c r="AJ67" i="13"/>
  <c r="Q67" i="34"/>
  <c r="AJ68" i="13"/>
  <c r="Q68" i="34"/>
  <c r="D11" i="34"/>
  <c r="AJ69" i="2"/>
  <c r="F69" i="34"/>
  <c r="AJ70" i="2"/>
  <c r="F70" i="34"/>
  <c r="AJ71" i="2"/>
  <c r="F71" i="34"/>
  <c r="AJ72" i="2"/>
  <c r="F72" i="34"/>
  <c r="AJ73" i="2"/>
  <c r="F73" i="34"/>
  <c r="AJ74" i="2"/>
  <c r="F74" i="34"/>
  <c r="AJ75" i="2"/>
  <c r="F75" i="34"/>
  <c r="AJ76" i="2"/>
  <c r="F76" i="34"/>
  <c r="AJ69" i="3"/>
  <c r="G69" i="34"/>
  <c r="AJ70" i="3"/>
  <c r="G70" i="34"/>
  <c r="AJ71" i="3"/>
  <c r="G71" i="34"/>
  <c r="AJ72" i="3"/>
  <c r="G72" i="34"/>
  <c r="AJ73" i="3"/>
  <c r="G73" i="34"/>
  <c r="AJ74" i="3"/>
  <c r="G74" i="34"/>
  <c r="AJ75" i="3"/>
  <c r="G75" i="34"/>
  <c r="AJ76" i="3"/>
  <c r="G76" i="34"/>
  <c r="AJ69" i="4"/>
  <c r="H69" i="34"/>
  <c r="AJ70" i="4"/>
  <c r="H70" i="34"/>
  <c r="AJ71" i="4"/>
  <c r="H71" i="34"/>
  <c r="AJ72" i="4"/>
  <c r="H72" i="34"/>
  <c r="AJ73" i="4"/>
  <c r="H73" i="34"/>
  <c r="AJ74" i="4"/>
  <c r="H74" i="34"/>
  <c r="AJ75" i="4"/>
  <c r="H75" i="34"/>
  <c r="AJ76" i="4"/>
  <c r="H76" i="34"/>
  <c r="H11" i="34"/>
  <c r="AJ69" i="5"/>
  <c r="I69" i="34"/>
  <c r="AJ70" i="5"/>
  <c r="I70" i="34"/>
  <c r="AJ71" i="5"/>
  <c r="I71" i="34"/>
  <c r="AJ72" i="5"/>
  <c r="I72" i="34"/>
  <c r="AJ73" i="5"/>
  <c r="I73" i="34"/>
  <c r="AJ74" i="5"/>
  <c r="I74" i="34"/>
  <c r="AJ75" i="5"/>
  <c r="I75" i="34"/>
  <c r="AJ76" i="5"/>
  <c r="I76" i="34"/>
  <c r="AJ69" i="6"/>
  <c r="J69" i="34"/>
  <c r="AJ70" i="6"/>
  <c r="J70" i="34"/>
  <c r="AJ71" i="6"/>
  <c r="J71" i="34"/>
  <c r="AJ72" i="6"/>
  <c r="J72" i="34"/>
  <c r="AJ73" i="6"/>
  <c r="J73" i="34"/>
  <c r="AJ74" i="6"/>
  <c r="J74" i="34"/>
  <c r="AJ75" i="6"/>
  <c r="J75" i="34"/>
  <c r="AJ76" i="6"/>
  <c r="J76" i="34"/>
  <c r="AJ69" i="7"/>
  <c r="K69" i="34"/>
  <c r="AJ70" i="7"/>
  <c r="K70" i="34"/>
  <c r="AJ71" i="7"/>
  <c r="K71" i="34"/>
  <c r="AJ72" i="7"/>
  <c r="K72" i="34"/>
  <c r="AJ73" i="7"/>
  <c r="K73" i="34"/>
  <c r="AJ74" i="7"/>
  <c r="K74" i="34"/>
  <c r="AJ75" i="7"/>
  <c r="K75" i="34"/>
  <c r="AJ76" i="7"/>
  <c r="K76" i="34"/>
  <c r="AJ69" i="8"/>
  <c r="L69" i="34"/>
  <c r="AJ70" i="8"/>
  <c r="L70" i="34"/>
  <c r="AJ71" i="8"/>
  <c r="L71" i="34"/>
  <c r="AJ72" i="8"/>
  <c r="L72" i="34"/>
  <c r="AJ73" i="8"/>
  <c r="L73" i="34"/>
  <c r="AJ74" i="8"/>
  <c r="L74" i="34"/>
  <c r="AJ75" i="8"/>
  <c r="L75" i="34"/>
  <c r="AJ76" i="8"/>
  <c r="L76" i="34"/>
  <c r="L11" i="34"/>
  <c r="AJ69" i="9"/>
  <c r="M69" i="34"/>
  <c r="AJ70" i="9"/>
  <c r="M70" i="34"/>
  <c r="AJ71" i="9"/>
  <c r="M71" i="34"/>
  <c r="AJ72" i="9"/>
  <c r="M72" i="34"/>
  <c r="AJ73" i="9"/>
  <c r="M73" i="34"/>
  <c r="AJ74" i="9"/>
  <c r="M74" i="34"/>
  <c r="AJ75" i="9"/>
  <c r="M75" i="34"/>
  <c r="AJ76" i="9"/>
  <c r="M76" i="34"/>
  <c r="AJ69" i="10"/>
  <c r="N69" i="34"/>
  <c r="AJ70" i="10"/>
  <c r="N70" i="34"/>
  <c r="AJ71" i="10"/>
  <c r="N71" i="34"/>
  <c r="AJ72" i="10"/>
  <c r="N72" i="34"/>
  <c r="AJ73" i="10"/>
  <c r="N73" i="34"/>
  <c r="AJ74" i="10"/>
  <c r="N74" i="34"/>
  <c r="AJ75" i="10"/>
  <c r="N75" i="34"/>
  <c r="AJ76" i="10"/>
  <c r="N76" i="34"/>
  <c r="AJ69" i="11"/>
  <c r="O69" i="34"/>
  <c r="AJ70" i="11"/>
  <c r="O70" i="34"/>
  <c r="AJ71" i="11"/>
  <c r="O71" i="34"/>
  <c r="AJ72" i="11"/>
  <c r="O72" i="34"/>
  <c r="AJ73" i="11"/>
  <c r="O73" i="34"/>
  <c r="AJ74" i="11"/>
  <c r="O74" i="34"/>
  <c r="AJ75" i="11"/>
  <c r="O75" i="34"/>
  <c r="AJ76" i="11"/>
  <c r="O76" i="34"/>
  <c r="AJ69" i="12"/>
  <c r="P69" i="34"/>
  <c r="AJ70" i="12"/>
  <c r="P70" i="34"/>
  <c r="AJ71" i="12"/>
  <c r="P71" i="34"/>
  <c r="AJ72" i="12"/>
  <c r="P72" i="34"/>
  <c r="AJ73" i="12"/>
  <c r="P73" i="34"/>
  <c r="AJ74" i="12"/>
  <c r="P74" i="34"/>
  <c r="AJ75" i="12"/>
  <c r="P75" i="34"/>
  <c r="AJ76" i="12"/>
  <c r="P76" i="34"/>
  <c r="AJ69" i="13"/>
  <c r="Q69" i="34"/>
  <c r="AJ70" i="13"/>
  <c r="Q70" i="34"/>
  <c r="AJ71" i="13"/>
  <c r="Q71" i="34"/>
  <c r="AJ72" i="13"/>
  <c r="Q72" i="34"/>
  <c r="AJ73" i="13"/>
  <c r="Q73" i="34"/>
  <c r="AJ74" i="13"/>
  <c r="Q74" i="34"/>
  <c r="AJ75" i="13"/>
  <c r="Q75" i="34"/>
  <c r="AJ76" i="13"/>
  <c r="Q76" i="34"/>
  <c r="D12" i="34"/>
  <c r="AJ77" i="2"/>
  <c r="F77" i="34"/>
  <c r="AJ78" i="2"/>
  <c r="F78" i="34"/>
  <c r="AJ79" i="2"/>
  <c r="F79" i="34"/>
  <c r="AJ80" i="2"/>
  <c r="F80" i="34"/>
  <c r="AJ81" i="2"/>
  <c r="F81" i="34"/>
  <c r="AJ82" i="2"/>
  <c r="F82" i="34"/>
  <c r="AJ83" i="2"/>
  <c r="F83" i="34"/>
  <c r="AJ84" i="2"/>
  <c r="F84" i="34"/>
  <c r="AJ77" i="3"/>
  <c r="G77" i="34"/>
  <c r="AJ78" i="3"/>
  <c r="G78" i="34"/>
  <c r="AJ79" i="3"/>
  <c r="G79" i="34"/>
  <c r="AJ80" i="3"/>
  <c r="G80" i="34"/>
  <c r="AJ81" i="3"/>
  <c r="G81" i="34"/>
  <c r="AJ82" i="3"/>
  <c r="G82" i="34"/>
  <c r="AJ83" i="3"/>
  <c r="G83" i="34"/>
  <c r="AJ84" i="3"/>
  <c r="G84" i="34"/>
  <c r="AJ77" i="4"/>
  <c r="H77" i="34"/>
  <c r="AJ78" i="4"/>
  <c r="H78" i="34"/>
  <c r="AJ79" i="4"/>
  <c r="H79" i="34"/>
  <c r="AJ80" i="4"/>
  <c r="H80" i="34"/>
  <c r="AJ81" i="4"/>
  <c r="H81" i="34"/>
  <c r="AJ82" i="4"/>
  <c r="H82" i="34"/>
  <c r="AJ83" i="4"/>
  <c r="H83" i="34"/>
  <c r="AJ84" i="4"/>
  <c r="H84" i="34"/>
  <c r="AJ77" i="5"/>
  <c r="I77" i="34"/>
  <c r="AJ78" i="5"/>
  <c r="I78" i="34"/>
  <c r="AJ79" i="5"/>
  <c r="I79" i="34"/>
  <c r="AJ80" i="5"/>
  <c r="I80" i="34"/>
  <c r="AJ81" i="5"/>
  <c r="I81" i="34"/>
  <c r="AJ82" i="5"/>
  <c r="I82" i="34"/>
  <c r="AJ83" i="5"/>
  <c r="I83" i="34"/>
  <c r="AJ84" i="5"/>
  <c r="I84" i="34"/>
  <c r="AJ77" i="6"/>
  <c r="J77" i="34"/>
  <c r="AJ78" i="6"/>
  <c r="J78" i="34"/>
  <c r="AJ79" i="6"/>
  <c r="J79" i="34"/>
  <c r="AJ80" i="6"/>
  <c r="J80" i="34"/>
  <c r="AJ81" i="6"/>
  <c r="J81" i="34"/>
  <c r="AJ82" i="6"/>
  <c r="J82" i="34"/>
  <c r="AJ83" i="6"/>
  <c r="J83" i="34"/>
  <c r="AJ84" i="6"/>
  <c r="J84" i="34"/>
  <c r="AJ77" i="7"/>
  <c r="K77" i="34"/>
  <c r="AJ78" i="7"/>
  <c r="K78" i="34"/>
  <c r="AJ79" i="7"/>
  <c r="K79" i="34"/>
  <c r="AJ80" i="7"/>
  <c r="K80" i="34"/>
  <c r="AJ81" i="7"/>
  <c r="K81" i="34"/>
  <c r="AJ82" i="7"/>
  <c r="K82" i="34"/>
  <c r="AJ83" i="7"/>
  <c r="K83" i="34"/>
  <c r="AJ84" i="7"/>
  <c r="K84" i="34"/>
  <c r="K12" i="34"/>
  <c r="AJ77" i="8"/>
  <c r="L77" i="34"/>
  <c r="AJ78" i="8"/>
  <c r="L78" i="34"/>
  <c r="AJ79" i="8"/>
  <c r="L79" i="34"/>
  <c r="AJ80" i="8"/>
  <c r="L80" i="34"/>
  <c r="AJ81" i="8"/>
  <c r="L81" i="34"/>
  <c r="AJ82" i="8"/>
  <c r="L82" i="34"/>
  <c r="AJ83" i="8"/>
  <c r="L83" i="34"/>
  <c r="AJ84" i="8"/>
  <c r="L84" i="34"/>
  <c r="AJ77" i="9"/>
  <c r="M77" i="34"/>
  <c r="AJ78" i="9"/>
  <c r="M78" i="34"/>
  <c r="AJ79" i="9"/>
  <c r="M79" i="34"/>
  <c r="AJ80" i="9"/>
  <c r="M80" i="34"/>
  <c r="AJ81" i="9"/>
  <c r="M81" i="34"/>
  <c r="AJ82" i="9"/>
  <c r="M82" i="34"/>
  <c r="AJ83" i="9"/>
  <c r="M83" i="34"/>
  <c r="AJ84" i="9"/>
  <c r="M84" i="34"/>
  <c r="AJ77" i="10"/>
  <c r="N77" i="34"/>
  <c r="AJ78" i="10"/>
  <c r="N78" i="34"/>
  <c r="AJ79" i="10"/>
  <c r="N79" i="34"/>
  <c r="AJ80" i="10"/>
  <c r="N80" i="34"/>
  <c r="AJ81" i="10"/>
  <c r="N81" i="34"/>
  <c r="AJ82" i="10"/>
  <c r="N82" i="34"/>
  <c r="AJ83" i="10"/>
  <c r="N83" i="34"/>
  <c r="AJ84" i="10"/>
  <c r="N84" i="34"/>
  <c r="AJ77" i="11"/>
  <c r="O77" i="34"/>
  <c r="AJ78" i="11"/>
  <c r="O78" i="34"/>
  <c r="AJ79" i="11"/>
  <c r="O79" i="34"/>
  <c r="AJ80" i="11"/>
  <c r="O80" i="34"/>
  <c r="AJ81" i="11"/>
  <c r="O81" i="34"/>
  <c r="AJ82" i="11"/>
  <c r="O82" i="34"/>
  <c r="AJ83" i="11"/>
  <c r="O83" i="34"/>
  <c r="AJ84" i="11"/>
  <c r="O84" i="34"/>
  <c r="O12" i="34"/>
  <c r="AJ77" i="12"/>
  <c r="P77" i="34"/>
  <c r="AJ78" i="12"/>
  <c r="P78" i="34"/>
  <c r="AJ79" i="12"/>
  <c r="P79" i="34"/>
  <c r="AJ80" i="12"/>
  <c r="P80" i="34"/>
  <c r="AJ81" i="12"/>
  <c r="P81" i="34"/>
  <c r="AJ82" i="12"/>
  <c r="P82" i="34"/>
  <c r="AJ83" i="12"/>
  <c r="P83" i="34"/>
  <c r="AJ84" i="12"/>
  <c r="P84" i="34"/>
  <c r="AJ77" i="13"/>
  <c r="Q77" i="34"/>
  <c r="AJ78" i="13"/>
  <c r="Q78" i="34"/>
  <c r="AJ79" i="13"/>
  <c r="Q79" i="34"/>
  <c r="AJ80" i="13"/>
  <c r="Q80" i="34"/>
  <c r="AJ81" i="13"/>
  <c r="Q81" i="34"/>
  <c r="AJ82" i="13"/>
  <c r="Q82" i="34"/>
  <c r="AJ83" i="13"/>
  <c r="Q83" i="34"/>
  <c r="AJ84" i="13"/>
  <c r="Q84" i="34"/>
  <c r="D13" i="34"/>
  <c r="E39" i="2"/>
  <c r="E13" i="2"/>
  <c r="E40" i="2" s="1"/>
  <c r="F39" i="2"/>
  <c r="F13" i="2"/>
  <c r="F40" i="2" s="1"/>
  <c r="G39" i="2"/>
  <c r="G13" i="2"/>
  <c r="G40" i="2" s="1"/>
  <c r="H39" i="2"/>
  <c r="H13" i="2"/>
  <c r="I39" i="2"/>
  <c r="I13" i="2"/>
  <c r="I40" i="2" s="1"/>
  <c r="J39" i="2"/>
  <c r="J13" i="2"/>
  <c r="J40" i="2" s="1"/>
  <c r="K39" i="2"/>
  <c r="K13" i="2"/>
  <c r="K40" i="2" s="1"/>
  <c r="L39" i="2"/>
  <c r="L13" i="2"/>
  <c r="M39" i="2"/>
  <c r="M13" i="2"/>
  <c r="M40" i="2" s="1"/>
  <c r="N39" i="2"/>
  <c r="N13" i="2"/>
  <c r="N40" i="2" s="1"/>
  <c r="O39" i="2"/>
  <c r="O13" i="2"/>
  <c r="P39" i="2"/>
  <c r="P13" i="2"/>
  <c r="Q39" i="2"/>
  <c r="Q13" i="2"/>
  <c r="R39" i="2"/>
  <c r="R13" i="2"/>
  <c r="R40" i="2" s="1"/>
  <c r="S39" i="2"/>
  <c r="S13" i="2"/>
  <c r="T39" i="2"/>
  <c r="T13" i="2"/>
  <c r="U39" i="2"/>
  <c r="U13" i="2"/>
  <c r="U40" i="2"/>
  <c r="V39" i="2"/>
  <c r="V13" i="2"/>
  <c r="V40" i="2" s="1"/>
  <c r="W39" i="2"/>
  <c r="W13" i="2"/>
  <c r="X39" i="2"/>
  <c r="X13" i="2"/>
  <c r="X40" i="2" s="1"/>
  <c r="Y39" i="2"/>
  <c r="Y13" i="2"/>
  <c r="Z39" i="2"/>
  <c r="Z13" i="2"/>
  <c r="AA39" i="2"/>
  <c r="AA13" i="2"/>
  <c r="AA40" i="2" s="1"/>
  <c r="AB39" i="2"/>
  <c r="AB13" i="2"/>
  <c r="AB40" i="2"/>
  <c r="AC39" i="2"/>
  <c r="AC13" i="2"/>
  <c r="AC40" i="2" s="1"/>
  <c r="AD39" i="2"/>
  <c r="AD13" i="2"/>
  <c r="AE39" i="2"/>
  <c r="AE13" i="2"/>
  <c r="AF39" i="2"/>
  <c r="AF13" i="2"/>
  <c r="AF40" i="2" s="1"/>
  <c r="AG39" i="2"/>
  <c r="AG13" i="2"/>
  <c r="AG40" i="2" s="1"/>
  <c r="AH39" i="2"/>
  <c r="AH13" i="2"/>
  <c r="AI39" i="2"/>
  <c r="AI13" i="2"/>
  <c r="E39" i="3"/>
  <c r="E13" i="3"/>
  <c r="F39" i="3"/>
  <c r="F13" i="3"/>
  <c r="F40" i="3" s="1"/>
  <c r="G39" i="3"/>
  <c r="G13" i="3"/>
  <c r="H39" i="3"/>
  <c r="H13" i="3"/>
  <c r="H40" i="3" s="1"/>
  <c r="I39" i="3"/>
  <c r="I13" i="3"/>
  <c r="J39" i="3"/>
  <c r="J13" i="3"/>
  <c r="J40" i="3" s="1"/>
  <c r="K39" i="3"/>
  <c r="K13" i="3"/>
  <c r="L39" i="3"/>
  <c r="L13" i="3"/>
  <c r="M39" i="3"/>
  <c r="M13" i="3"/>
  <c r="N39" i="3"/>
  <c r="N13" i="3"/>
  <c r="N40" i="3" s="1"/>
  <c r="O39" i="3"/>
  <c r="O13" i="3"/>
  <c r="P39" i="3"/>
  <c r="P13" i="3"/>
  <c r="P40" i="3" s="1"/>
  <c r="Q39" i="3"/>
  <c r="Q13" i="3"/>
  <c r="R39" i="3"/>
  <c r="R13" i="3"/>
  <c r="R40" i="3" s="1"/>
  <c r="S39" i="3"/>
  <c r="S13" i="3"/>
  <c r="T39" i="3"/>
  <c r="T13" i="3"/>
  <c r="T40" i="3" s="1"/>
  <c r="U39" i="3"/>
  <c r="U13" i="3"/>
  <c r="V39" i="3"/>
  <c r="V13" i="3"/>
  <c r="V40" i="3" s="1"/>
  <c r="W39" i="3"/>
  <c r="W13" i="3"/>
  <c r="X39" i="3"/>
  <c r="X13" i="3"/>
  <c r="Y39" i="3"/>
  <c r="Y13" i="3"/>
  <c r="Z39" i="3"/>
  <c r="Z13" i="3"/>
  <c r="Z40" i="3" s="1"/>
  <c r="AA39" i="3"/>
  <c r="AA13" i="3"/>
  <c r="AB39" i="3"/>
  <c r="AB13" i="3"/>
  <c r="AB40" i="3" s="1"/>
  <c r="AC39" i="3"/>
  <c r="AC13" i="3"/>
  <c r="AD39" i="3"/>
  <c r="AD13" i="3"/>
  <c r="AD40" i="3" s="1"/>
  <c r="AE39" i="3"/>
  <c r="AE13" i="3"/>
  <c r="AF39" i="3"/>
  <c r="AF13" i="3"/>
  <c r="AG39" i="3"/>
  <c r="AG13" i="3"/>
  <c r="AH39" i="3"/>
  <c r="AH13" i="3"/>
  <c r="AH40" i="3" s="1"/>
  <c r="AI39" i="3"/>
  <c r="AI13" i="3"/>
  <c r="E39" i="4"/>
  <c r="E13" i="4"/>
  <c r="F39" i="4"/>
  <c r="F13" i="4"/>
  <c r="G39" i="4"/>
  <c r="G13" i="4"/>
  <c r="H39" i="4"/>
  <c r="H13" i="4"/>
  <c r="I39" i="4"/>
  <c r="I13" i="4"/>
  <c r="J39" i="4"/>
  <c r="J13" i="4"/>
  <c r="K39" i="4"/>
  <c r="K13" i="4"/>
  <c r="L39" i="4"/>
  <c r="L13" i="4"/>
  <c r="M39" i="4"/>
  <c r="M13" i="4"/>
  <c r="M40" i="4" s="1"/>
  <c r="N39" i="4"/>
  <c r="N13" i="4"/>
  <c r="O39" i="4"/>
  <c r="O13" i="4"/>
  <c r="P39" i="4"/>
  <c r="P13" i="4"/>
  <c r="Q39" i="4"/>
  <c r="Q13" i="4"/>
  <c r="R39" i="4"/>
  <c r="R13" i="4"/>
  <c r="S39" i="4"/>
  <c r="S13" i="4"/>
  <c r="T39" i="4"/>
  <c r="T13" i="4"/>
  <c r="U39" i="4"/>
  <c r="U13" i="4"/>
  <c r="V39" i="4"/>
  <c r="V13" i="4"/>
  <c r="V40" i="4" s="1"/>
  <c r="W39" i="4"/>
  <c r="W13" i="4"/>
  <c r="X39" i="4"/>
  <c r="X13" i="4"/>
  <c r="Y39" i="4"/>
  <c r="Y13" i="4"/>
  <c r="Z39" i="4"/>
  <c r="Z13" i="4"/>
  <c r="AA39" i="4"/>
  <c r="AA13" i="4"/>
  <c r="AB39" i="4"/>
  <c r="AB13" i="4"/>
  <c r="AC39" i="4"/>
  <c r="AC13" i="4"/>
  <c r="AC40" i="4" s="1"/>
  <c r="AD39" i="4"/>
  <c r="AD13" i="4"/>
  <c r="AD40" i="4" s="1"/>
  <c r="AE39" i="4"/>
  <c r="AE13" i="4"/>
  <c r="AF39" i="4"/>
  <c r="AF13" i="4"/>
  <c r="AG39" i="4"/>
  <c r="AG13" i="4"/>
  <c r="AH39" i="4"/>
  <c r="AH13" i="4"/>
  <c r="AH40" i="4" s="1"/>
  <c r="AI39" i="4"/>
  <c r="AI13" i="4"/>
  <c r="E39" i="5"/>
  <c r="E13" i="5"/>
  <c r="E40" i="5" s="1"/>
  <c r="F39" i="5"/>
  <c r="F13" i="5"/>
  <c r="G39" i="5"/>
  <c r="G13" i="5"/>
  <c r="H39" i="5"/>
  <c r="H13" i="5"/>
  <c r="I39" i="5"/>
  <c r="I13" i="5"/>
  <c r="J39" i="5"/>
  <c r="J13" i="5"/>
  <c r="K39" i="5"/>
  <c r="K13" i="5"/>
  <c r="L39" i="5"/>
  <c r="L13" i="5"/>
  <c r="M39" i="5"/>
  <c r="M13" i="5"/>
  <c r="N39" i="5"/>
  <c r="N13" i="5"/>
  <c r="O39" i="5"/>
  <c r="O13" i="5"/>
  <c r="P39" i="5"/>
  <c r="P13" i="5"/>
  <c r="Q39" i="5"/>
  <c r="Q13" i="5"/>
  <c r="R39" i="5"/>
  <c r="R13" i="5"/>
  <c r="S39" i="5"/>
  <c r="S13" i="5"/>
  <c r="T39" i="5"/>
  <c r="T13" i="5"/>
  <c r="U39" i="5"/>
  <c r="U13" i="5"/>
  <c r="V39" i="5"/>
  <c r="V13" i="5"/>
  <c r="W39" i="5"/>
  <c r="W13" i="5"/>
  <c r="X39" i="5"/>
  <c r="X13" i="5"/>
  <c r="Y39" i="5"/>
  <c r="Y13" i="5"/>
  <c r="Z39" i="5"/>
  <c r="Z13" i="5"/>
  <c r="AA39" i="5"/>
  <c r="AA13" i="5"/>
  <c r="AB39" i="5"/>
  <c r="AB13" i="5"/>
  <c r="AC39" i="5"/>
  <c r="AC13" i="5"/>
  <c r="AD39" i="5"/>
  <c r="AD13" i="5"/>
  <c r="AE39" i="5"/>
  <c r="AE13" i="5"/>
  <c r="AF39" i="5"/>
  <c r="AF13" i="5"/>
  <c r="AG39" i="5"/>
  <c r="AG13" i="5"/>
  <c r="AH39" i="5"/>
  <c r="AH13" i="5"/>
  <c r="AI39" i="5"/>
  <c r="AI13" i="5"/>
  <c r="E39" i="6"/>
  <c r="E13" i="6"/>
  <c r="F39" i="6"/>
  <c r="F13" i="6"/>
  <c r="G39" i="6"/>
  <c r="G13" i="6"/>
  <c r="H39" i="6"/>
  <c r="H13" i="6"/>
  <c r="I39" i="6"/>
  <c r="I13" i="6"/>
  <c r="J39" i="6"/>
  <c r="J13" i="6"/>
  <c r="K39" i="6"/>
  <c r="K13" i="6"/>
  <c r="L39" i="6"/>
  <c r="L13" i="6"/>
  <c r="M39" i="6"/>
  <c r="M13" i="6"/>
  <c r="N39" i="6"/>
  <c r="N13" i="6"/>
  <c r="O39" i="6"/>
  <c r="O13" i="6"/>
  <c r="P39" i="6"/>
  <c r="P13" i="6"/>
  <c r="Q39" i="6"/>
  <c r="Q13" i="6"/>
  <c r="R39" i="6"/>
  <c r="R13" i="6"/>
  <c r="S39" i="6"/>
  <c r="S13" i="6"/>
  <c r="T39" i="6"/>
  <c r="T13" i="6"/>
  <c r="U39" i="6"/>
  <c r="U13" i="6"/>
  <c r="V39" i="6"/>
  <c r="V13" i="6"/>
  <c r="W39" i="6"/>
  <c r="W13" i="6"/>
  <c r="X39" i="6"/>
  <c r="X13" i="6"/>
  <c r="Y39" i="6"/>
  <c r="Y13" i="6"/>
  <c r="Z39" i="6"/>
  <c r="Z13" i="6"/>
  <c r="AA39" i="6"/>
  <c r="AA13" i="6"/>
  <c r="AB39" i="6"/>
  <c r="AB13" i="6"/>
  <c r="AC39" i="6"/>
  <c r="AC13" i="6"/>
  <c r="AD39" i="6"/>
  <c r="AD13" i="6"/>
  <c r="AE39" i="6"/>
  <c r="AE13" i="6"/>
  <c r="AF39" i="6"/>
  <c r="AF13" i="6"/>
  <c r="AG39" i="6"/>
  <c r="AG13" i="6"/>
  <c r="AH39" i="6"/>
  <c r="AH13" i="6"/>
  <c r="AI39" i="6"/>
  <c r="AI13" i="6"/>
  <c r="AI40" i="6"/>
  <c r="E39" i="7"/>
  <c r="F39" i="7"/>
  <c r="F13" i="7"/>
  <c r="G39" i="7"/>
  <c r="G13" i="7"/>
  <c r="H39" i="7"/>
  <c r="H13" i="7"/>
  <c r="I39" i="7"/>
  <c r="I13" i="7"/>
  <c r="J39" i="7"/>
  <c r="J13" i="7"/>
  <c r="K39" i="7"/>
  <c r="K13" i="7"/>
  <c r="L39" i="7"/>
  <c r="L13" i="7"/>
  <c r="M39" i="7"/>
  <c r="M13" i="7"/>
  <c r="N39" i="7"/>
  <c r="N13" i="7"/>
  <c r="O39" i="7"/>
  <c r="O13" i="7"/>
  <c r="P39" i="7"/>
  <c r="P13" i="7"/>
  <c r="Q39" i="7"/>
  <c r="Q13" i="7"/>
  <c r="R39" i="7"/>
  <c r="R13" i="7"/>
  <c r="S39" i="7"/>
  <c r="S13" i="7"/>
  <c r="T39" i="7"/>
  <c r="T13" i="7"/>
  <c r="U39" i="7"/>
  <c r="U13" i="7"/>
  <c r="V39" i="7"/>
  <c r="V13" i="7"/>
  <c r="W39" i="7"/>
  <c r="W13" i="7"/>
  <c r="X39" i="7"/>
  <c r="X13" i="7"/>
  <c r="Y39" i="7"/>
  <c r="Y13" i="7"/>
  <c r="Z39" i="7"/>
  <c r="Z13" i="7"/>
  <c r="AA39" i="7"/>
  <c r="AA13" i="7"/>
  <c r="AB39" i="7"/>
  <c r="AB13" i="7"/>
  <c r="AC39" i="7"/>
  <c r="AC13" i="7"/>
  <c r="AD39" i="7"/>
  <c r="AD13" i="7"/>
  <c r="AE39" i="7"/>
  <c r="AE13" i="7"/>
  <c r="AF39" i="7"/>
  <c r="AF13" i="7"/>
  <c r="AG39" i="7"/>
  <c r="AG13" i="7"/>
  <c r="AH39" i="7"/>
  <c r="AH13" i="7"/>
  <c r="AI39" i="7"/>
  <c r="AI13" i="7"/>
  <c r="E39" i="8"/>
  <c r="E13" i="8"/>
  <c r="F39" i="8"/>
  <c r="F13" i="8"/>
  <c r="G39" i="8"/>
  <c r="G13" i="8"/>
  <c r="H39" i="8"/>
  <c r="H13" i="8"/>
  <c r="I39" i="8"/>
  <c r="I13" i="8"/>
  <c r="J39" i="8"/>
  <c r="J13" i="8"/>
  <c r="K39" i="8"/>
  <c r="K13" i="8"/>
  <c r="L39" i="8"/>
  <c r="L13" i="8"/>
  <c r="M39" i="8"/>
  <c r="M13" i="8"/>
  <c r="N39" i="8"/>
  <c r="N13" i="8"/>
  <c r="O39" i="8"/>
  <c r="O13" i="8"/>
  <c r="P39" i="8"/>
  <c r="P13" i="8"/>
  <c r="Q39" i="8"/>
  <c r="Q13" i="8"/>
  <c r="R39" i="8"/>
  <c r="R13" i="8"/>
  <c r="S39" i="8"/>
  <c r="S13" i="8"/>
  <c r="T39" i="8"/>
  <c r="T13" i="8"/>
  <c r="U39" i="8"/>
  <c r="U13" i="8"/>
  <c r="V39" i="8"/>
  <c r="V13" i="8"/>
  <c r="W39" i="8"/>
  <c r="W13" i="8"/>
  <c r="X39" i="8"/>
  <c r="X13" i="8"/>
  <c r="Y39" i="8"/>
  <c r="Y13" i="8"/>
  <c r="Z39" i="8"/>
  <c r="Z13" i="8"/>
  <c r="AA39" i="8"/>
  <c r="AA13" i="8"/>
  <c r="AB39" i="8"/>
  <c r="AB13" i="8"/>
  <c r="AC39" i="8"/>
  <c r="AC13" i="8"/>
  <c r="AD39" i="8"/>
  <c r="AD13" i="8"/>
  <c r="AE39" i="8"/>
  <c r="AE13" i="8"/>
  <c r="AF39" i="8"/>
  <c r="AF13" i="8"/>
  <c r="AG39" i="8"/>
  <c r="AG13" i="8"/>
  <c r="AH39" i="8"/>
  <c r="AH13" i="8"/>
  <c r="AI39" i="8"/>
  <c r="AI13" i="8"/>
  <c r="E39" i="9"/>
  <c r="E13" i="9"/>
  <c r="F39" i="9"/>
  <c r="F13" i="9"/>
  <c r="G39" i="9"/>
  <c r="G13" i="9"/>
  <c r="H39" i="9"/>
  <c r="H13" i="9"/>
  <c r="I39" i="9"/>
  <c r="I13" i="9"/>
  <c r="J39" i="9"/>
  <c r="J13" i="9"/>
  <c r="K39" i="9"/>
  <c r="K13" i="9"/>
  <c r="L39" i="9"/>
  <c r="L13" i="9"/>
  <c r="M39" i="9"/>
  <c r="M13" i="9"/>
  <c r="N39" i="9"/>
  <c r="N13" i="9"/>
  <c r="O39" i="9"/>
  <c r="O13" i="9"/>
  <c r="P39" i="9"/>
  <c r="P13" i="9"/>
  <c r="Q39" i="9"/>
  <c r="Q13" i="9"/>
  <c r="R39" i="9"/>
  <c r="R13" i="9"/>
  <c r="S39" i="9"/>
  <c r="S13" i="9"/>
  <c r="T39" i="9"/>
  <c r="T13" i="9"/>
  <c r="U39" i="9"/>
  <c r="U13" i="9"/>
  <c r="V39" i="9"/>
  <c r="V13" i="9"/>
  <c r="W39" i="9"/>
  <c r="W13" i="9"/>
  <c r="X39" i="9"/>
  <c r="X13" i="9"/>
  <c r="Y39" i="9"/>
  <c r="Y13" i="9"/>
  <c r="Z39" i="9"/>
  <c r="Z13" i="9"/>
  <c r="AA39" i="9"/>
  <c r="AA13" i="9"/>
  <c r="AB39" i="9"/>
  <c r="AB13" i="9"/>
  <c r="AC39" i="9"/>
  <c r="AC13" i="9"/>
  <c r="AD39" i="9"/>
  <c r="AD13" i="9"/>
  <c r="AE39" i="9"/>
  <c r="AE13" i="9"/>
  <c r="AF39" i="9"/>
  <c r="AF13" i="9"/>
  <c r="AG39" i="9"/>
  <c r="AG13" i="9"/>
  <c r="AH39" i="9"/>
  <c r="AH13" i="9"/>
  <c r="AI39" i="9"/>
  <c r="AI13" i="9"/>
  <c r="E39" i="10"/>
  <c r="E13" i="10"/>
  <c r="F39" i="10"/>
  <c r="F13" i="10"/>
  <c r="G39" i="10"/>
  <c r="G13" i="10"/>
  <c r="H39" i="10"/>
  <c r="H13" i="10"/>
  <c r="I39" i="10"/>
  <c r="I13" i="10"/>
  <c r="J39" i="10"/>
  <c r="J13" i="10"/>
  <c r="K39" i="10"/>
  <c r="K13" i="10"/>
  <c r="L39" i="10"/>
  <c r="L13" i="10"/>
  <c r="M39" i="10"/>
  <c r="M13" i="10"/>
  <c r="N39" i="10"/>
  <c r="N13" i="10"/>
  <c r="O39" i="10"/>
  <c r="O13" i="10"/>
  <c r="P39" i="10"/>
  <c r="P13" i="10"/>
  <c r="Q39" i="10"/>
  <c r="Q13" i="10"/>
  <c r="R39" i="10"/>
  <c r="R13" i="10"/>
  <c r="S39" i="10"/>
  <c r="S13" i="10"/>
  <c r="T39" i="10"/>
  <c r="T13" i="10"/>
  <c r="U39" i="10"/>
  <c r="U13" i="10"/>
  <c r="V39" i="10"/>
  <c r="V13" i="10"/>
  <c r="W39" i="10"/>
  <c r="W13" i="10"/>
  <c r="X39" i="10"/>
  <c r="X13" i="10"/>
  <c r="Y39" i="10"/>
  <c r="Y13" i="10"/>
  <c r="Z39" i="10"/>
  <c r="Z13" i="10"/>
  <c r="AA39" i="10"/>
  <c r="AA13" i="10"/>
  <c r="AB39" i="10"/>
  <c r="AB13" i="10"/>
  <c r="AC39" i="10"/>
  <c r="AC13" i="10"/>
  <c r="AD39" i="10"/>
  <c r="AD13" i="10"/>
  <c r="AE39" i="10"/>
  <c r="AE13" i="10"/>
  <c r="AF39" i="10"/>
  <c r="AF13" i="10"/>
  <c r="AG39" i="10"/>
  <c r="AG13" i="10"/>
  <c r="AH39" i="10"/>
  <c r="AH13" i="10"/>
  <c r="AI39" i="10"/>
  <c r="AI13" i="10"/>
  <c r="E39" i="11"/>
  <c r="E13" i="11"/>
  <c r="E40" i="11" s="1"/>
  <c r="F39" i="11"/>
  <c r="F13" i="11"/>
  <c r="G39" i="11"/>
  <c r="G13" i="11"/>
  <c r="H39" i="11"/>
  <c r="H13" i="11"/>
  <c r="I39" i="11"/>
  <c r="I13" i="11"/>
  <c r="J39" i="11"/>
  <c r="J13" i="11"/>
  <c r="K39" i="11"/>
  <c r="K13" i="11"/>
  <c r="L39" i="11"/>
  <c r="L13" i="11"/>
  <c r="M39" i="11"/>
  <c r="M13" i="11"/>
  <c r="N39" i="11"/>
  <c r="N13" i="11"/>
  <c r="O39" i="11"/>
  <c r="O13" i="11"/>
  <c r="P39" i="11"/>
  <c r="P13" i="11"/>
  <c r="Q39" i="11"/>
  <c r="Q13" i="11"/>
  <c r="R39" i="11"/>
  <c r="R13" i="11"/>
  <c r="S39" i="11"/>
  <c r="S13" i="11"/>
  <c r="T39" i="11"/>
  <c r="T13" i="11"/>
  <c r="U39" i="11"/>
  <c r="U13" i="11"/>
  <c r="V39" i="11"/>
  <c r="V13" i="11"/>
  <c r="W39" i="11"/>
  <c r="W13" i="11"/>
  <c r="X39" i="11"/>
  <c r="X13" i="11"/>
  <c r="Y39" i="11"/>
  <c r="Y13" i="11"/>
  <c r="Z39" i="11"/>
  <c r="Z13" i="11"/>
  <c r="AA39" i="11"/>
  <c r="AA13" i="11"/>
  <c r="AB39" i="11"/>
  <c r="AB13" i="11"/>
  <c r="AC39" i="11"/>
  <c r="AC13" i="11"/>
  <c r="AD39" i="11"/>
  <c r="AD13" i="11"/>
  <c r="AE39" i="11"/>
  <c r="AE13" i="11"/>
  <c r="AF39" i="11"/>
  <c r="AF13" i="11"/>
  <c r="AG39" i="11"/>
  <c r="AG13" i="11"/>
  <c r="AH39" i="11"/>
  <c r="AH13" i="11"/>
  <c r="AI39" i="11"/>
  <c r="AI13" i="11"/>
  <c r="E39" i="12"/>
  <c r="E13" i="12"/>
  <c r="F39" i="12"/>
  <c r="F13" i="12"/>
  <c r="G39" i="12"/>
  <c r="G13" i="12"/>
  <c r="H39" i="12"/>
  <c r="H13" i="12"/>
  <c r="I39" i="12"/>
  <c r="I13" i="12"/>
  <c r="J39" i="12"/>
  <c r="J13" i="12"/>
  <c r="K39" i="12"/>
  <c r="K13" i="12"/>
  <c r="L39" i="12"/>
  <c r="L13" i="12"/>
  <c r="M39" i="12"/>
  <c r="M13" i="12"/>
  <c r="N39" i="12"/>
  <c r="N13" i="12"/>
  <c r="O39" i="12"/>
  <c r="O13" i="12"/>
  <c r="P39" i="12"/>
  <c r="P13" i="12"/>
  <c r="Q39" i="12"/>
  <c r="Q13" i="12"/>
  <c r="R39" i="12"/>
  <c r="R13" i="12"/>
  <c r="S39" i="12"/>
  <c r="S13" i="12"/>
  <c r="T39" i="12"/>
  <c r="T13" i="12"/>
  <c r="U39" i="12"/>
  <c r="U13" i="12"/>
  <c r="V39" i="12"/>
  <c r="V13" i="12"/>
  <c r="W39" i="12"/>
  <c r="W13" i="12"/>
  <c r="X39" i="12"/>
  <c r="X13" i="12"/>
  <c r="Y39" i="12"/>
  <c r="Y13" i="12"/>
  <c r="Z39" i="12"/>
  <c r="Z13" i="12"/>
  <c r="AA39" i="12"/>
  <c r="AA13" i="12"/>
  <c r="AB39" i="12"/>
  <c r="AB13" i="12"/>
  <c r="AC39" i="12"/>
  <c r="AC13" i="12"/>
  <c r="AD39" i="12"/>
  <c r="AD13" i="12"/>
  <c r="AE39" i="12"/>
  <c r="AE13" i="12"/>
  <c r="AF39" i="12"/>
  <c r="AF13" i="12"/>
  <c r="AG39" i="12"/>
  <c r="AG13" i="12"/>
  <c r="AH39" i="12"/>
  <c r="AH13" i="12"/>
  <c r="AI39" i="12"/>
  <c r="AI13" i="12"/>
  <c r="E39" i="13"/>
  <c r="E13" i="13"/>
  <c r="F39" i="13"/>
  <c r="F13" i="13"/>
  <c r="G39" i="13"/>
  <c r="G13" i="13"/>
  <c r="H39" i="13"/>
  <c r="H13" i="13"/>
  <c r="I39" i="13"/>
  <c r="I13" i="13"/>
  <c r="J39" i="13"/>
  <c r="J13" i="13"/>
  <c r="K39" i="13"/>
  <c r="K13" i="13"/>
  <c r="L39" i="13"/>
  <c r="L13" i="13"/>
  <c r="M39" i="13"/>
  <c r="M13" i="13"/>
  <c r="N39" i="13"/>
  <c r="N13" i="13"/>
  <c r="O39" i="13"/>
  <c r="O13" i="13"/>
  <c r="P39" i="13"/>
  <c r="P13" i="13"/>
  <c r="Q39" i="13"/>
  <c r="Q13" i="13"/>
  <c r="R39" i="13"/>
  <c r="R13" i="13"/>
  <c r="S39" i="13"/>
  <c r="S13" i="13"/>
  <c r="T39" i="13"/>
  <c r="T13" i="13"/>
  <c r="U39" i="13"/>
  <c r="U13" i="13"/>
  <c r="V39" i="13"/>
  <c r="V13" i="13"/>
  <c r="W39" i="13"/>
  <c r="W13" i="13"/>
  <c r="X39" i="13"/>
  <c r="X13" i="13"/>
  <c r="Y39" i="13"/>
  <c r="Y13" i="13"/>
  <c r="Z39" i="13"/>
  <c r="Z13" i="13"/>
  <c r="AA39" i="13"/>
  <c r="AA13" i="13"/>
  <c r="AB39" i="13"/>
  <c r="AB13" i="13"/>
  <c r="AC39" i="13"/>
  <c r="AC13" i="13"/>
  <c r="AD39" i="13"/>
  <c r="AD13" i="13"/>
  <c r="AE39" i="13"/>
  <c r="AE13" i="13"/>
  <c r="AF39" i="13"/>
  <c r="AF13" i="13"/>
  <c r="AG39" i="13"/>
  <c r="AG13" i="13"/>
  <c r="AH39" i="13"/>
  <c r="AH13" i="13"/>
  <c r="AI39" i="13"/>
  <c r="AI13" i="13"/>
  <c r="X15" i="34"/>
  <c r="X16" i="34" s="1"/>
  <c r="X17" i="34" s="1"/>
  <c r="X18" i="34" s="1"/>
  <c r="X19" i="34" s="1"/>
  <c r="X20" i="34" s="1"/>
  <c r="X21" i="34" s="1"/>
  <c r="X22" i="34" s="1"/>
  <c r="I8" i="1"/>
  <c r="I10" i="1"/>
  <c r="AJ21" i="2"/>
  <c r="F21" i="34"/>
  <c r="AJ21" i="3"/>
  <c r="G21" i="34"/>
  <c r="AJ21" i="4"/>
  <c r="H21" i="34"/>
  <c r="AJ21" i="5"/>
  <c r="I21" i="34"/>
  <c r="AJ21" i="6"/>
  <c r="J21" i="34"/>
  <c r="AJ21" i="7"/>
  <c r="K21" i="34"/>
  <c r="AJ21" i="8"/>
  <c r="L21" i="34"/>
  <c r="AJ21" i="9"/>
  <c r="M21" i="34"/>
  <c r="AJ21" i="10"/>
  <c r="N21" i="34"/>
  <c r="AJ21" i="11"/>
  <c r="O21" i="34"/>
  <c r="AJ21" i="12"/>
  <c r="P21" i="34"/>
  <c r="AJ21" i="13"/>
  <c r="Q21" i="34"/>
  <c r="U22" i="34"/>
  <c r="V22" i="34"/>
  <c r="W22" i="34"/>
  <c r="Z22" i="34"/>
  <c r="T23" i="34"/>
  <c r="U23" i="34"/>
  <c r="V23" i="34"/>
  <c r="W23" i="34"/>
  <c r="Z23" i="34"/>
  <c r="T24" i="34"/>
  <c r="U24" i="34"/>
  <c r="V24" i="34"/>
  <c r="W24" i="34"/>
  <c r="Z24" i="34"/>
  <c r="T25" i="34"/>
  <c r="U25" i="34"/>
  <c r="V25" i="34"/>
  <c r="W25" i="34"/>
  <c r="Z25" i="34"/>
  <c r="T26" i="34"/>
  <c r="U26" i="34"/>
  <c r="V26" i="34"/>
  <c r="W26" i="34"/>
  <c r="Z26" i="34"/>
  <c r="P10" i="38" s="1"/>
  <c r="T27" i="34"/>
  <c r="U27" i="34"/>
  <c r="V27" i="34"/>
  <c r="W27" i="34"/>
  <c r="Z27" i="34"/>
  <c r="P11" i="38" s="1"/>
  <c r="T28" i="34"/>
  <c r="U28" i="34"/>
  <c r="V28" i="34"/>
  <c r="W28" i="34"/>
  <c r="Z28" i="34"/>
  <c r="T29" i="34"/>
  <c r="U29" i="34"/>
  <c r="V29" i="34"/>
  <c r="W29" i="34"/>
  <c r="Z29" i="34"/>
  <c r="T30" i="34"/>
  <c r="U30" i="34"/>
  <c r="V30" i="34"/>
  <c r="W30" i="34"/>
  <c r="Z30" i="34"/>
  <c r="P13" i="38" s="1"/>
  <c r="T31" i="34"/>
  <c r="U31" i="34"/>
  <c r="V31" i="34"/>
  <c r="W31" i="34"/>
  <c r="Z31" i="34"/>
  <c r="U32" i="34"/>
  <c r="V32" i="34"/>
  <c r="W32" i="34"/>
  <c r="Z32" i="34"/>
  <c r="P15" i="38" s="1"/>
  <c r="Z33" i="34"/>
  <c r="AJ34" i="2"/>
  <c r="F34" i="34"/>
  <c r="AJ34" i="3"/>
  <c r="G34" i="34"/>
  <c r="AJ34" i="4"/>
  <c r="H34" i="34"/>
  <c r="AJ34" i="5"/>
  <c r="I34" i="34"/>
  <c r="AJ34" i="6"/>
  <c r="J34" i="34"/>
  <c r="AJ34" i="7"/>
  <c r="K34" i="34"/>
  <c r="AJ34" i="8"/>
  <c r="L34" i="34"/>
  <c r="AJ34" i="9"/>
  <c r="M34" i="34"/>
  <c r="AJ34" i="10"/>
  <c r="N34" i="34"/>
  <c r="AJ34" i="11"/>
  <c r="O34" i="34"/>
  <c r="AJ34" i="12"/>
  <c r="P34" i="34"/>
  <c r="AJ34" i="13"/>
  <c r="Q34" i="34"/>
  <c r="Z34" i="34"/>
  <c r="AJ35" i="2"/>
  <c r="F35" i="34"/>
  <c r="AJ35" i="3"/>
  <c r="G35" i="34"/>
  <c r="AJ35" i="4"/>
  <c r="H35" i="34"/>
  <c r="AJ35" i="5"/>
  <c r="I35" i="34"/>
  <c r="AJ35" i="6"/>
  <c r="J35" i="34"/>
  <c r="AJ35" i="7"/>
  <c r="K35" i="34"/>
  <c r="AJ35" i="8"/>
  <c r="L35" i="34"/>
  <c r="AJ35" i="9"/>
  <c r="M35" i="34"/>
  <c r="AJ35" i="10"/>
  <c r="N35" i="34"/>
  <c r="AJ35" i="11"/>
  <c r="O35" i="34"/>
  <c r="AJ35" i="12"/>
  <c r="P35" i="34"/>
  <c r="AJ35" i="13"/>
  <c r="Q35" i="34"/>
  <c r="W35" i="34"/>
  <c r="Z35" i="34"/>
  <c r="AJ36" i="2"/>
  <c r="F36" i="34"/>
  <c r="AJ36" i="3"/>
  <c r="G36" i="34"/>
  <c r="AJ36" i="4"/>
  <c r="H36" i="34"/>
  <c r="AJ36" i="5"/>
  <c r="I36" i="34"/>
  <c r="AJ36" i="6"/>
  <c r="J36" i="34"/>
  <c r="AJ36" i="7"/>
  <c r="K36" i="34"/>
  <c r="AJ36" i="8"/>
  <c r="L36" i="34"/>
  <c r="AJ36" i="9"/>
  <c r="M36" i="34"/>
  <c r="AJ36" i="10"/>
  <c r="N36" i="34"/>
  <c r="AJ36" i="11"/>
  <c r="O36" i="34"/>
  <c r="AJ36" i="12"/>
  <c r="P36" i="34"/>
  <c r="AJ36" i="13"/>
  <c r="Q36" i="34"/>
  <c r="W36" i="34"/>
  <c r="Z36" i="34"/>
  <c r="AJ37" i="2"/>
  <c r="F37" i="34"/>
  <c r="AJ37" i="3"/>
  <c r="G37" i="34"/>
  <c r="AJ37" i="4"/>
  <c r="H37" i="34"/>
  <c r="AJ37" i="5"/>
  <c r="I37" i="34"/>
  <c r="AJ37" i="6"/>
  <c r="J37" i="34"/>
  <c r="AJ37" i="7"/>
  <c r="K37" i="34"/>
  <c r="AJ37" i="8"/>
  <c r="L37" i="34"/>
  <c r="AJ37" i="9"/>
  <c r="M37" i="34"/>
  <c r="AJ37" i="10"/>
  <c r="N37" i="34"/>
  <c r="AJ37" i="11"/>
  <c r="O37" i="34"/>
  <c r="AJ37" i="12"/>
  <c r="P37" i="34"/>
  <c r="AJ37" i="13"/>
  <c r="Q37" i="34"/>
  <c r="W37" i="34"/>
  <c r="Z37" i="34"/>
  <c r="AJ38" i="2"/>
  <c r="F38" i="34"/>
  <c r="AJ38" i="3"/>
  <c r="G38" i="34"/>
  <c r="AJ38" i="4"/>
  <c r="H38" i="34"/>
  <c r="AJ38" i="5"/>
  <c r="I38" i="34"/>
  <c r="AJ38" i="6"/>
  <c r="J38" i="34"/>
  <c r="AJ38" i="7"/>
  <c r="K38" i="34"/>
  <c r="AJ38" i="8"/>
  <c r="L38" i="34"/>
  <c r="AJ38" i="9"/>
  <c r="M38" i="34"/>
  <c r="AJ38" i="10"/>
  <c r="N38" i="34"/>
  <c r="AJ38" i="11"/>
  <c r="O38" i="34"/>
  <c r="AJ38" i="12"/>
  <c r="P38" i="34"/>
  <c r="AJ38" i="13"/>
  <c r="Q38" i="34"/>
  <c r="Z38" i="34"/>
  <c r="F39" i="34"/>
  <c r="G39" i="34"/>
  <c r="H39" i="34"/>
  <c r="T39" i="34"/>
  <c r="I39" i="34"/>
  <c r="J39" i="34"/>
  <c r="K39" i="34"/>
  <c r="U39" i="34"/>
  <c r="L39" i="34"/>
  <c r="M39" i="34"/>
  <c r="N39" i="34"/>
  <c r="O39" i="34"/>
  <c r="P39" i="34"/>
  <c r="Q39" i="34"/>
  <c r="W39" i="34"/>
  <c r="V39" i="34"/>
  <c r="Z39" i="34"/>
  <c r="F40" i="34"/>
  <c r="G40" i="34"/>
  <c r="H40" i="34"/>
  <c r="T40" i="34"/>
  <c r="I40" i="34"/>
  <c r="J40" i="34"/>
  <c r="K40" i="34"/>
  <c r="L40" i="34"/>
  <c r="M40" i="34"/>
  <c r="N40" i="34"/>
  <c r="V40" i="34"/>
  <c r="O40" i="34"/>
  <c r="P40" i="34"/>
  <c r="Q40" i="34"/>
  <c r="W40" i="34"/>
  <c r="U40" i="34"/>
  <c r="Z40" i="34"/>
  <c r="B41" i="34"/>
  <c r="D41" i="34"/>
  <c r="Z41" i="34"/>
  <c r="P16" i="38"/>
  <c r="U41" i="34"/>
  <c r="V41" i="34"/>
  <c r="W41" i="34"/>
  <c r="B42" i="34"/>
  <c r="D42" i="34"/>
  <c r="Z42" i="34"/>
  <c r="P17" i="38"/>
  <c r="T42" i="34"/>
  <c r="U42" i="34"/>
  <c r="V42" i="34"/>
  <c r="W42" i="34"/>
  <c r="B43" i="34"/>
  <c r="D43" i="34"/>
  <c r="Z43" i="34"/>
  <c r="P18" i="38"/>
  <c r="T43" i="34"/>
  <c r="U43" i="34"/>
  <c r="V43" i="34"/>
  <c r="W43" i="34"/>
  <c r="B44" i="34"/>
  <c r="D44" i="34"/>
  <c r="Z44" i="34"/>
  <c r="P19" i="38"/>
  <c r="T44" i="34"/>
  <c r="U44" i="34"/>
  <c r="V44" i="34"/>
  <c r="W44" i="34"/>
  <c r="B45" i="34"/>
  <c r="D45" i="34"/>
  <c r="Z45" i="34"/>
  <c r="P20" i="38"/>
  <c r="T45" i="34"/>
  <c r="U45" i="34"/>
  <c r="V45" i="34"/>
  <c r="W45" i="34"/>
  <c r="B46" i="34"/>
  <c r="D46" i="34"/>
  <c r="Z46" i="34"/>
  <c r="P21" i="38"/>
  <c r="T46" i="34"/>
  <c r="U46" i="34"/>
  <c r="V46" i="34"/>
  <c r="W46" i="34"/>
  <c r="B47" i="34"/>
  <c r="D47" i="34"/>
  <c r="Z47" i="34"/>
  <c r="P22" i="38"/>
  <c r="T47" i="34"/>
  <c r="U47" i="34"/>
  <c r="V47" i="34"/>
  <c r="W47" i="34"/>
  <c r="B48" i="34"/>
  <c r="D48" i="34"/>
  <c r="Z48" i="34"/>
  <c r="P23" i="38"/>
  <c r="T48" i="34"/>
  <c r="U48" i="34"/>
  <c r="V48" i="34"/>
  <c r="W48" i="34"/>
  <c r="B49" i="34"/>
  <c r="D49" i="34"/>
  <c r="Z49" i="34"/>
  <c r="P24" i="38"/>
  <c r="T49" i="34"/>
  <c r="U49" i="34"/>
  <c r="V49" i="34"/>
  <c r="W49" i="34"/>
  <c r="B50" i="34"/>
  <c r="D50" i="34"/>
  <c r="Z50" i="34"/>
  <c r="P25" i="38"/>
  <c r="T50" i="34"/>
  <c r="U50" i="34"/>
  <c r="V50" i="34"/>
  <c r="W50" i="34"/>
  <c r="B51" i="34"/>
  <c r="D51" i="34"/>
  <c r="T51" i="34"/>
  <c r="U51" i="34"/>
  <c r="V51" i="34"/>
  <c r="W51" i="34"/>
  <c r="Z51" i="34"/>
  <c r="B52" i="34"/>
  <c r="D52" i="34"/>
  <c r="Z52" i="34"/>
  <c r="P27" i="38"/>
  <c r="T52" i="34"/>
  <c r="U52" i="34"/>
  <c r="V52" i="34"/>
  <c r="W52" i="34"/>
  <c r="B53" i="34"/>
  <c r="D53" i="34"/>
  <c r="Z53" i="34"/>
  <c r="P28" i="38"/>
  <c r="T53" i="34"/>
  <c r="U53" i="34"/>
  <c r="V53" i="34"/>
  <c r="W53" i="34"/>
  <c r="B54" i="34"/>
  <c r="D54" i="34"/>
  <c r="Z54" i="34"/>
  <c r="P29" i="38"/>
  <c r="T54" i="34"/>
  <c r="U54" i="34"/>
  <c r="V54" i="34"/>
  <c r="W54" i="34"/>
  <c r="B55" i="34"/>
  <c r="D55" i="34"/>
  <c r="T55" i="34"/>
  <c r="U55" i="34"/>
  <c r="V55" i="34"/>
  <c r="W55" i="34"/>
  <c r="Z55" i="34"/>
  <c r="B56" i="34"/>
  <c r="D56" i="34"/>
  <c r="Z56" i="34"/>
  <c r="P31" i="38"/>
  <c r="T56" i="34"/>
  <c r="U56" i="34"/>
  <c r="V56" i="34"/>
  <c r="W56" i="34"/>
  <c r="B57" i="34"/>
  <c r="D57" i="34"/>
  <c r="Z57" i="34"/>
  <c r="P32" i="38"/>
  <c r="T57" i="34"/>
  <c r="U57" i="34"/>
  <c r="V57" i="34"/>
  <c r="W57" i="34"/>
  <c r="B58" i="34"/>
  <c r="D58" i="34"/>
  <c r="Z58" i="34"/>
  <c r="P33" i="38"/>
  <c r="T58" i="34"/>
  <c r="U58" i="34"/>
  <c r="V58" i="34"/>
  <c r="W58" i="34"/>
  <c r="B59" i="34"/>
  <c r="D59" i="34"/>
  <c r="Z59" i="34"/>
  <c r="P34" i="38"/>
  <c r="T59" i="34"/>
  <c r="U59" i="34"/>
  <c r="V59" i="34"/>
  <c r="W59" i="34"/>
  <c r="B60" i="34"/>
  <c r="D60" i="34"/>
  <c r="Z60" i="34"/>
  <c r="P35" i="38"/>
  <c r="T60" i="34"/>
  <c r="U60" i="34"/>
  <c r="V60" i="34"/>
  <c r="W60" i="34"/>
  <c r="B61" i="34"/>
  <c r="D61" i="34"/>
  <c r="Z61" i="34"/>
  <c r="P36" i="38"/>
  <c r="T61" i="34"/>
  <c r="U61" i="34"/>
  <c r="V61" i="34"/>
  <c r="W61" i="34"/>
  <c r="B62" i="34"/>
  <c r="D62" i="34"/>
  <c r="Z62" i="34"/>
  <c r="P37" i="38"/>
  <c r="T62" i="34"/>
  <c r="U62" i="34"/>
  <c r="V62" i="34"/>
  <c r="W62" i="34"/>
  <c r="B63" i="34"/>
  <c r="D63" i="34"/>
  <c r="T63" i="34"/>
  <c r="U63" i="34"/>
  <c r="V63" i="34"/>
  <c r="W63" i="34"/>
  <c r="Z63" i="34"/>
  <c r="B64" i="34"/>
  <c r="D64" i="34"/>
  <c r="Z64" i="34"/>
  <c r="P39" i="38"/>
  <c r="T64" i="34"/>
  <c r="U64" i="34"/>
  <c r="V64" i="34"/>
  <c r="W64" i="34"/>
  <c r="B65" i="34"/>
  <c r="D65" i="34"/>
  <c r="Z65" i="34"/>
  <c r="P40" i="38"/>
  <c r="T65" i="34"/>
  <c r="U65" i="34"/>
  <c r="V65" i="34"/>
  <c r="W65" i="34"/>
  <c r="B66" i="34"/>
  <c r="D66" i="34"/>
  <c r="Z66" i="34"/>
  <c r="P41" i="38"/>
  <c r="T66" i="34"/>
  <c r="U66" i="34"/>
  <c r="V66" i="34"/>
  <c r="W66" i="34"/>
  <c r="B67" i="34"/>
  <c r="D67" i="34"/>
  <c r="T67" i="34"/>
  <c r="U67" i="34"/>
  <c r="V67" i="34"/>
  <c r="W67" i="34"/>
  <c r="Z67" i="34"/>
  <c r="B68" i="34"/>
  <c r="D68" i="34"/>
  <c r="Z68" i="34"/>
  <c r="P43" i="38"/>
  <c r="T68" i="34"/>
  <c r="U68" i="34"/>
  <c r="V68" i="34"/>
  <c r="W68" i="34"/>
  <c r="B69" i="34"/>
  <c r="D69" i="34"/>
  <c r="Z69" i="34"/>
  <c r="P44" i="38"/>
  <c r="T69" i="34"/>
  <c r="U69" i="34"/>
  <c r="V69" i="34"/>
  <c r="W69" i="34"/>
  <c r="B70" i="34"/>
  <c r="D70" i="34"/>
  <c r="Z70" i="34"/>
  <c r="P45" i="38"/>
  <c r="T70" i="34"/>
  <c r="U70" i="34"/>
  <c r="V70" i="34"/>
  <c r="W70" i="34"/>
  <c r="B71" i="34"/>
  <c r="D71" i="34"/>
  <c r="Z71" i="34"/>
  <c r="P46" i="38"/>
  <c r="T71" i="34"/>
  <c r="U71" i="34"/>
  <c r="V71" i="34"/>
  <c r="W71" i="34"/>
  <c r="B72" i="34"/>
  <c r="D72" i="34"/>
  <c r="Z72" i="34"/>
  <c r="P47" i="38"/>
  <c r="T72" i="34"/>
  <c r="U72" i="34"/>
  <c r="V72" i="34"/>
  <c r="W72" i="34"/>
  <c r="B73" i="34"/>
  <c r="D73" i="34"/>
  <c r="Z73" i="34"/>
  <c r="P48" i="38"/>
  <c r="T73" i="34"/>
  <c r="U73" i="34"/>
  <c r="V73" i="34"/>
  <c r="W73" i="34"/>
  <c r="B74" i="34"/>
  <c r="D74" i="34"/>
  <c r="Z74" i="34"/>
  <c r="P49" i="38"/>
  <c r="T74" i="34"/>
  <c r="U74" i="34"/>
  <c r="V74" i="34"/>
  <c r="W74" i="34"/>
  <c r="B75" i="34"/>
  <c r="D75" i="34"/>
  <c r="T75" i="34"/>
  <c r="U75" i="34"/>
  <c r="V75" i="34"/>
  <c r="W75" i="34"/>
  <c r="Z75" i="34"/>
  <c r="B76" i="34"/>
  <c r="D76" i="34"/>
  <c r="Z76" i="34"/>
  <c r="P51" i="38"/>
  <c r="T76" i="34"/>
  <c r="U76" i="34"/>
  <c r="V76" i="34"/>
  <c r="W76" i="34"/>
  <c r="B77" i="34"/>
  <c r="D77" i="34"/>
  <c r="Z77" i="34"/>
  <c r="P52" i="38"/>
  <c r="T77" i="34"/>
  <c r="U77" i="34"/>
  <c r="V77" i="34"/>
  <c r="W77" i="34"/>
  <c r="B78" i="34"/>
  <c r="D78" i="34"/>
  <c r="Z78" i="34"/>
  <c r="P53" i="38"/>
  <c r="T78" i="34"/>
  <c r="U78" i="34"/>
  <c r="V78" i="34"/>
  <c r="W78" i="34"/>
  <c r="B79" i="34"/>
  <c r="D79" i="34"/>
  <c r="Z79" i="34"/>
  <c r="P54" i="38"/>
  <c r="T79" i="34"/>
  <c r="U79" i="34"/>
  <c r="V79" i="34"/>
  <c r="W79" i="34"/>
  <c r="B80" i="34"/>
  <c r="D80" i="34"/>
  <c r="Z80" i="34"/>
  <c r="P55" i="38"/>
  <c r="T80" i="34"/>
  <c r="U80" i="34"/>
  <c r="V80" i="34"/>
  <c r="W80" i="34"/>
  <c r="B81" i="34"/>
  <c r="D81" i="34"/>
  <c r="Z81" i="34"/>
  <c r="P56" i="38"/>
  <c r="T81" i="34"/>
  <c r="U81" i="34"/>
  <c r="V81" i="34"/>
  <c r="W81" i="34"/>
  <c r="B82" i="34"/>
  <c r="D82" i="34"/>
  <c r="Z82" i="34"/>
  <c r="P57" i="38"/>
  <c r="T82" i="34"/>
  <c r="U82" i="34"/>
  <c r="V82" i="34"/>
  <c r="W82" i="34"/>
  <c r="B83" i="34"/>
  <c r="D83" i="34"/>
  <c r="T83" i="34"/>
  <c r="U83" i="34"/>
  <c r="V83" i="34"/>
  <c r="W83" i="34"/>
  <c r="Z83" i="34"/>
  <c r="B84" i="34"/>
  <c r="D84" i="34"/>
  <c r="Z84" i="34"/>
  <c r="P59" i="38"/>
  <c r="T84" i="34"/>
  <c r="U84" i="34"/>
  <c r="V84" i="34"/>
  <c r="W84" i="34"/>
  <c r="D85" i="34"/>
  <c r="Z85" i="34"/>
  <c r="AJ85" i="4"/>
  <c r="H85" i="34"/>
  <c r="AJ85" i="5"/>
  <c r="I85" i="34"/>
  <c r="AJ85" i="7"/>
  <c r="K85" i="34"/>
  <c r="AJ85" i="10"/>
  <c r="N85" i="34"/>
  <c r="D116" i="34"/>
  <c r="AJ94" i="2"/>
  <c r="F116" i="34"/>
  <c r="AJ94" i="3"/>
  <c r="G116" i="34"/>
  <c r="AJ94" i="4"/>
  <c r="H116" i="34"/>
  <c r="AJ94" i="5"/>
  <c r="I116" i="34"/>
  <c r="AJ94" i="6"/>
  <c r="J116" i="34"/>
  <c r="AJ94" i="7"/>
  <c r="K116" i="34"/>
  <c r="AJ94" i="8"/>
  <c r="L116" i="34"/>
  <c r="AJ94" i="9"/>
  <c r="M116" i="34"/>
  <c r="AJ94" i="10"/>
  <c r="N116" i="34"/>
  <c r="AJ94" i="11"/>
  <c r="O116" i="34"/>
  <c r="AJ94" i="12"/>
  <c r="P116" i="34"/>
  <c r="AJ94" i="13"/>
  <c r="Q116" i="34"/>
  <c r="R116" i="34"/>
  <c r="V116" i="34"/>
  <c r="W116" i="34"/>
  <c r="U116" i="34"/>
  <c r="T116" i="34"/>
  <c r="Z116" i="34"/>
  <c r="D117" i="34"/>
  <c r="Z117" i="34"/>
  <c r="AJ95" i="2"/>
  <c r="F117" i="34"/>
  <c r="AJ95" i="3"/>
  <c r="G117" i="34"/>
  <c r="AJ95" i="4"/>
  <c r="H117" i="34"/>
  <c r="AJ95" i="5"/>
  <c r="I117" i="34"/>
  <c r="AJ95" i="6"/>
  <c r="J117" i="34"/>
  <c r="AJ95" i="7"/>
  <c r="K117" i="34"/>
  <c r="AJ95" i="8"/>
  <c r="L117" i="34"/>
  <c r="AJ95" i="9"/>
  <c r="M117" i="34"/>
  <c r="AJ95" i="10"/>
  <c r="N117" i="34"/>
  <c r="AJ95" i="11"/>
  <c r="O117" i="34"/>
  <c r="AJ95" i="12"/>
  <c r="P117" i="34"/>
  <c r="AJ95" i="13"/>
  <c r="Q117" i="34"/>
  <c r="D118" i="34"/>
  <c r="Z118" i="34"/>
  <c r="AJ96" i="2"/>
  <c r="F118" i="34"/>
  <c r="AJ96" i="3"/>
  <c r="G118" i="34"/>
  <c r="AJ96" i="4"/>
  <c r="H118" i="34"/>
  <c r="AJ96" i="5"/>
  <c r="I118" i="34"/>
  <c r="AJ96" i="6"/>
  <c r="J118" i="34"/>
  <c r="AJ96" i="7"/>
  <c r="K118" i="34"/>
  <c r="AJ96" i="8"/>
  <c r="L118" i="34"/>
  <c r="AJ96" i="9"/>
  <c r="M118" i="34"/>
  <c r="AJ96" i="10"/>
  <c r="N118" i="34"/>
  <c r="AJ96" i="11"/>
  <c r="O118" i="34"/>
  <c r="AJ96" i="12"/>
  <c r="P118" i="34"/>
  <c r="AJ96" i="13"/>
  <c r="Q118" i="34"/>
  <c r="R118" i="34"/>
  <c r="V118" i="34"/>
  <c r="W118" i="34"/>
  <c r="U118" i="34"/>
  <c r="T118" i="34"/>
  <c r="D119" i="34"/>
  <c r="AJ97" i="2"/>
  <c r="F119" i="34"/>
  <c r="AJ97" i="3"/>
  <c r="G119" i="34"/>
  <c r="AJ97" i="4"/>
  <c r="H119" i="34"/>
  <c r="AJ97" i="5"/>
  <c r="I119" i="34"/>
  <c r="AJ97" i="6"/>
  <c r="J119" i="34"/>
  <c r="AJ97" i="7"/>
  <c r="K119" i="34"/>
  <c r="AJ97" i="8"/>
  <c r="L119" i="34"/>
  <c r="AJ97" i="9"/>
  <c r="M119" i="34"/>
  <c r="AJ97" i="10"/>
  <c r="N119" i="34"/>
  <c r="AJ97" i="11"/>
  <c r="O119" i="34"/>
  <c r="AJ97" i="12"/>
  <c r="P119" i="34"/>
  <c r="AJ97" i="13"/>
  <c r="Q119" i="34"/>
  <c r="Z119" i="34"/>
  <c r="D120" i="34"/>
  <c r="AJ98" i="2"/>
  <c r="F120" i="34"/>
  <c r="AJ98" i="3"/>
  <c r="G120" i="34"/>
  <c r="AJ98" i="4"/>
  <c r="H120" i="34"/>
  <c r="AJ98" i="5"/>
  <c r="I120" i="34"/>
  <c r="AJ98" i="6"/>
  <c r="J120" i="34"/>
  <c r="AJ98" i="7"/>
  <c r="K120" i="34"/>
  <c r="AJ98" i="8"/>
  <c r="L120" i="34"/>
  <c r="AJ98" i="9"/>
  <c r="M120" i="34"/>
  <c r="AJ98" i="10"/>
  <c r="N120" i="34"/>
  <c r="AJ98" i="11"/>
  <c r="O120" i="34"/>
  <c r="AJ98" i="12"/>
  <c r="P120" i="34"/>
  <c r="AJ98" i="13"/>
  <c r="Q120" i="34"/>
  <c r="R120" i="34"/>
  <c r="V120" i="34"/>
  <c r="W120" i="34"/>
  <c r="U120" i="34"/>
  <c r="T120" i="34"/>
  <c r="Z120" i="34"/>
  <c r="D121" i="34"/>
  <c r="Z121" i="34"/>
  <c r="AJ99" i="2"/>
  <c r="F121" i="34"/>
  <c r="AJ99" i="3"/>
  <c r="G121" i="34"/>
  <c r="AJ99" i="4"/>
  <c r="H121" i="34"/>
  <c r="AJ99" i="5"/>
  <c r="I121" i="34"/>
  <c r="AJ99" i="6"/>
  <c r="J121" i="34"/>
  <c r="AJ99" i="7"/>
  <c r="K121" i="34"/>
  <c r="AJ99" i="8"/>
  <c r="L121" i="34"/>
  <c r="AJ99" i="9"/>
  <c r="M121" i="34"/>
  <c r="AJ99" i="10"/>
  <c r="N121" i="34"/>
  <c r="AJ99" i="11"/>
  <c r="O121" i="34"/>
  <c r="AJ99" i="12"/>
  <c r="P121" i="34"/>
  <c r="AJ99" i="13"/>
  <c r="Q121" i="34"/>
  <c r="D122" i="34"/>
  <c r="Z122" i="34"/>
  <c r="AJ100" i="2"/>
  <c r="F122" i="34"/>
  <c r="AJ100" i="3"/>
  <c r="G122" i="34"/>
  <c r="AJ100" i="4"/>
  <c r="H122" i="34"/>
  <c r="AJ100" i="5"/>
  <c r="I122" i="34"/>
  <c r="AJ100" i="6"/>
  <c r="J122" i="34"/>
  <c r="AJ100" i="7"/>
  <c r="K122" i="34"/>
  <c r="AJ100" i="8"/>
  <c r="L122" i="34"/>
  <c r="AJ100" i="9"/>
  <c r="M122" i="34"/>
  <c r="AJ100" i="10"/>
  <c r="N122" i="34"/>
  <c r="AJ100" i="11"/>
  <c r="O122" i="34"/>
  <c r="AJ100" i="12"/>
  <c r="P122" i="34"/>
  <c r="AJ100" i="13"/>
  <c r="Q122" i="34"/>
  <c r="R122" i="34"/>
  <c r="V122" i="34"/>
  <c r="W122" i="34"/>
  <c r="U122" i="34"/>
  <c r="T122" i="34"/>
  <c r="D123" i="34"/>
  <c r="AJ101" i="2"/>
  <c r="F123" i="34"/>
  <c r="AJ101" i="3"/>
  <c r="G123" i="34"/>
  <c r="AJ101" i="4"/>
  <c r="H123" i="34"/>
  <c r="AJ101" i="5"/>
  <c r="I123" i="34"/>
  <c r="AJ101" i="6"/>
  <c r="J123" i="34"/>
  <c r="AJ101" i="7"/>
  <c r="K123" i="34"/>
  <c r="AJ101" i="8"/>
  <c r="L123" i="34"/>
  <c r="AJ101" i="9"/>
  <c r="M123" i="34"/>
  <c r="AJ101" i="10"/>
  <c r="N123" i="34"/>
  <c r="AJ101" i="11"/>
  <c r="O123" i="34"/>
  <c r="AJ101" i="12"/>
  <c r="P123" i="34"/>
  <c r="AJ101" i="13"/>
  <c r="Q123" i="34"/>
  <c r="Z123" i="34"/>
  <c r="D124" i="34"/>
  <c r="Z124" i="34"/>
  <c r="AJ102" i="2"/>
  <c r="F124" i="34"/>
  <c r="AJ102" i="3"/>
  <c r="G124" i="34"/>
  <c r="AJ102" i="4"/>
  <c r="H124" i="34"/>
  <c r="AJ102" i="5"/>
  <c r="I124" i="34"/>
  <c r="AJ102" i="6"/>
  <c r="J124" i="34"/>
  <c r="AJ102" i="7"/>
  <c r="K124" i="34"/>
  <c r="AJ102" i="8"/>
  <c r="L124" i="34"/>
  <c r="AJ102" i="9"/>
  <c r="M124" i="34"/>
  <c r="AJ102" i="10"/>
  <c r="N124" i="34"/>
  <c r="AJ102" i="11"/>
  <c r="O124" i="34"/>
  <c r="AJ102" i="12"/>
  <c r="P124" i="34"/>
  <c r="AJ102" i="13"/>
  <c r="Q124" i="34"/>
  <c r="R124" i="34"/>
  <c r="V124" i="34"/>
  <c r="W124" i="34"/>
  <c r="U124" i="34"/>
  <c r="T124" i="34"/>
  <c r="D125" i="34"/>
  <c r="Z125" i="34"/>
  <c r="AJ103" i="2"/>
  <c r="F125" i="34"/>
  <c r="AJ103" i="3"/>
  <c r="G125" i="34"/>
  <c r="AJ103" i="4"/>
  <c r="H125" i="34"/>
  <c r="AJ103" i="5"/>
  <c r="I125" i="34"/>
  <c r="AJ103" i="6"/>
  <c r="J125" i="34"/>
  <c r="AJ103" i="7"/>
  <c r="K125" i="34"/>
  <c r="AJ103" i="8"/>
  <c r="L125" i="34"/>
  <c r="AJ103" i="9"/>
  <c r="M125" i="34"/>
  <c r="AJ103" i="10"/>
  <c r="N125" i="34"/>
  <c r="AJ103" i="11"/>
  <c r="O125" i="34"/>
  <c r="AJ103" i="12"/>
  <c r="P125" i="34"/>
  <c r="AJ103" i="13"/>
  <c r="Q125" i="34"/>
  <c r="D126" i="34"/>
  <c r="Z126" i="34"/>
  <c r="AJ104" i="2"/>
  <c r="F126" i="34"/>
  <c r="AJ104" i="3"/>
  <c r="G126" i="34"/>
  <c r="AJ104" i="4"/>
  <c r="H126" i="34"/>
  <c r="AJ104" i="5"/>
  <c r="I126" i="34"/>
  <c r="AJ104" i="6"/>
  <c r="J126" i="34"/>
  <c r="AJ104" i="7"/>
  <c r="K126" i="34"/>
  <c r="AJ104" i="8"/>
  <c r="L126" i="34"/>
  <c r="AJ104" i="9"/>
  <c r="M126" i="34"/>
  <c r="AJ104" i="10"/>
  <c r="N126" i="34"/>
  <c r="AJ104" i="11"/>
  <c r="O126" i="34"/>
  <c r="AJ104" i="12"/>
  <c r="P126" i="34"/>
  <c r="AJ104" i="13"/>
  <c r="Q126" i="34"/>
  <c r="R126" i="34"/>
  <c r="V126" i="34"/>
  <c r="W126" i="34"/>
  <c r="U126" i="34"/>
  <c r="T126" i="34"/>
  <c r="D127" i="34"/>
  <c r="Z127" i="34"/>
  <c r="AJ105" i="2"/>
  <c r="F127" i="34"/>
  <c r="AJ105" i="3"/>
  <c r="G127" i="34"/>
  <c r="AJ105" i="4"/>
  <c r="H127" i="34"/>
  <c r="AJ105" i="5"/>
  <c r="I127" i="34"/>
  <c r="AJ105" i="6"/>
  <c r="J127" i="34"/>
  <c r="AJ105" i="7"/>
  <c r="K127" i="34"/>
  <c r="AJ105" i="8"/>
  <c r="L127" i="34"/>
  <c r="AJ105" i="9"/>
  <c r="M127" i="34"/>
  <c r="AJ105" i="10"/>
  <c r="N127" i="34"/>
  <c r="AJ105" i="11"/>
  <c r="O127" i="34"/>
  <c r="AJ105" i="12"/>
  <c r="P127" i="34"/>
  <c r="AJ105" i="13"/>
  <c r="Q127" i="34"/>
  <c r="J11" i="39"/>
  <c r="J12" i="39"/>
  <c r="B15" i="39"/>
  <c r="C19" i="39"/>
  <c r="C20" i="39"/>
  <c r="B22" i="39"/>
  <c r="C25" i="39"/>
  <c r="C26" i="39"/>
  <c r="C27" i="39"/>
  <c r="C28" i="39"/>
  <c r="O7" i="38"/>
  <c r="Q7" i="38"/>
  <c r="P8" i="38"/>
  <c r="P9" i="38"/>
  <c r="P12" i="38"/>
  <c r="P14" i="38"/>
  <c r="P26" i="38"/>
  <c r="P30" i="38"/>
  <c r="P38" i="38"/>
  <c r="P42" i="38"/>
  <c r="P50" i="38"/>
  <c r="P58" i="38"/>
  <c r="B6" i="36"/>
  <c r="H6" i="36"/>
  <c r="H7" i="36"/>
  <c r="H8" i="36"/>
  <c r="H9" i="36"/>
  <c r="H10" i="36"/>
  <c r="H11" i="36"/>
  <c r="B7" i="36"/>
  <c r="B8" i="36"/>
  <c r="B9" i="36"/>
  <c r="B10"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P7" i="41"/>
  <c r="B9" i="41"/>
  <c r="P8" i="41"/>
  <c r="B10" i="41"/>
  <c r="P9" i="41"/>
  <c r="B11" i="41"/>
  <c r="P10" i="41"/>
  <c r="B12" i="41"/>
  <c r="P11" i="41"/>
  <c r="B13" i="41"/>
  <c r="P12" i="41"/>
  <c r="P13" i="41"/>
  <c r="B15" i="41"/>
  <c r="B14" i="41"/>
  <c r="P14" i="41"/>
  <c r="B16" i="41"/>
  <c r="P16" i="41"/>
  <c r="B48" i="41"/>
  <c r="P17" i="41"/>
  <c r="P18" i="41"/>
  <c r="B50" i="41"/>
  <c r="P19" i="41"/>
  <c r="B49" i="41"/>
  <c r="B51" i="41"/>
  <c r="A178" i="1"/>
  <c r="C178" i="1" s="1"/>
  <c r="D20" i="2" s="1"/>
  <c r="AK21" i="2"/>
  <c r="I77" i="1"/>
  <c r="I78" i="1"/>
  <c r="I79" i="1"/>
  <c r="I80" i="1"/>
  <c r="I81" i="1"/>
  <c r="I82" i="1"/>
  <c r="C74" i="1"/>
  <c r="C73" i="1"/>
  <c r="G74" i="1"/>
  <c r="H74" i="1"/>
  <c r="D74" i="1"/>
  <c r="I75" i="1"/>
  <c r="I76" i="1"/>
  <c r="A176" i="1"/>
  <c r="C176" i="1" s="1"/>
  <c r="D24" i="2" s="1"/>
  <c r="AK25" i="2"/>
  <c r="AK26" i="2"/>
  <c r="AK27" i="2"/>
  <c r="AK28" i="2"/>
  <c r="AK29" i="2"/>
  <c r="AK30" i="2"/>
  <c r="A183" i="1"/>
  <c r="C183" i="1" s="1"/>
  <c r="A180" i="1"/>
  <c r="K6" i="14" s="1"/>
  <c r="A184" i="1"/>
  <c r="C184" i="1"/>
  <c r="B32" i="7" s="1"/>
  <c r="A181" i="1"/>
  <c r="C181" i="1" s="1"/>
  <c r="D32" i="2" s="1"/>
  <c r="A185" i="1"/>
  <c r="C185" i="1" s="1"/>
  <c r="AJ33" i="2"/>
  <c r="A182" i="1"/>
  <c r="C182" i="1" s="1"/>
  <c r="A179" i="1"/>
  <c r="C179" i="1" s="1"/>
  <c r="D34" i="2" s="1"/>
  <c r="AK35" i="2"/>
  <c r="AK36" i="2"/>
  <c r="AK37" i="2"/>
  <c r="AK38" i="2"/>
  <c r="L40" i="2"/>
  <c r="O40" i="2"/>
  <c r="P40" i="2"/>
  <c r="Q40" i="2"/>
  <c r="S40" i="2"/>
  <c r="T40" i="2"/>
  <c r="W40" i="2"/>
  <c r="Y40" i="2"/>
  <c r="Z40" i="2"/>
  <c r="AD40" i="2"/>
  <c r="AE40" i="2"/>
  <c r="AH40" i="2"/>
  <c r="AI40" i="2"/>
  <c r="B41" i="2"/>
  <c r="C41" i="2"/>
  <c r="B42" i="2"/>
  <c r="C42" i="2"/>
  <c r="B43" i="2"/>
  <c r="C43" i="2"/>
  <c r="B44" i="2"/>
  <c r="C44" i="2"/>
  <c r="B45" i="2"/>
  <c r="C45" i="2"/>
  <c r="B46" i="2"/>
  <c r="C46" i="2"/>
  <c r="B47" i="2"/>
  <c r="C47" i="2"/>
  <c r="B48" i="2"/>
  <c r="C48" i="2"/>
  <c r="B49" i="2"/>
  <c r="C49" i="2"/>
  <c r="B50" i="2"/>
  <c r="C50" i="2"/>
  <c r="B51" i="2"/>
  <c r="C51" i="2"/>
  <c r="B52" i="2"/>
  <c r="C52" i="2"/>
  <c r="B53" i="2"/>
  <c r="C53" i="2"/>
  <c r="B54" i="2"/>
  <c r="C54" i="2"/>
  <c r="B55" i="2"/>
  <c r="C55" i="2"/>
  <c r="B56" i="2"/>
  <c r="C56" i="2"/>
  <c r="B57" i="2"/>
  <c r="C57" i="2"/>
  <c r="D57" i="2"/>
  <c r="B58" i="2"/>
  <c r="C58" i="2"/>
  <c r="B59" i="2"/>
  <c r="C59" i="2"/>
  <c r="B60" i="2"/>
  <c r="C60" i="2"/>
  <c r="B61" i="2"/>
  <c r="C61" i="2"/>
  <c r="B62" i="2"/>
  <c r="C62" i="2"/>
  <c r="B63" i="2"/>
  <c r="C63" i="2"/>
  <c r="B64" i="2"/>
  <c r="C64" i="2"/>
  <c r="B65" i="2"/>
  <c r="C65" i="2"/>
  <c r="B66" i="2"/>
  <c r="C66" i="2"/>
  <c r="B67" i="2"/>
  <c r="C67" i="2"/>
  <c r="B68" i="2"/>
  <c r="C68" i="2"/>
  <c r="B69" i="2"/>
  <c r="C69" i="2"/>
  <c r="B70" i="2"/>
  <c r="C70" i="2"/>
  <c r="B71" i="2"/>
  <c r="C71" i="2"/>
  <c r="B72" i="2"/>
  <c r="C72" i="2"/>
  <c r="B73" i="2"/>
  <c r="C73" i="2"/>
  <c r="B74" i="2"/>
  <c r="C74" i="2"/>
  <c r="B75" i="2"/>
  <c r="C75" i="2"/>
  <c r="B76" i="2"/>
  <c r="C76" i="2"/>
  <c r="B77" i="2"/>
  <c r="C77" i="2"/>
  <c r="B78" i="2"/>
  <c r="C78" i="2"/>
  <c r="B79" i="2"/>
  <c r="C79" i="2"/>
  <c r="B80" i="2"/>
  <c r="C80" i="2"/>
  <c r="B81" i="2"/>
  <c r="C81" i="2"/>
  <c r="B82" i="2"/>
  <c r="C82" i="2"/>
  <c r="B83" i="2"/>
  <c r="C83" i="2"/>
  <c r="B84" i="2"/>
  <c r="C84" i="2"/>
  <c r="C87" i="2"/>
  <c r="C94" i="2"/>
  <c r="C95" i="2"/>
  <c r="C96" i="2"/>
  <c r="C97" i="2"/>
  <c r="C98" i="2"/>
  <c r="C99" i="2"/>
  <c r="C100" i="2"/>
  <c r="C101" i="2"/>
  <c r="C102" i="2"/>
  <c r="C103" i="2"/>
  <c r="C104" i="2"/>
  <c r="C105" i="2"/>
  <c r="D7" i="3"/>
  <c r="D8" i="3"/>
  <c r="D9" i="3"/>
  <c r="D10" i="3"/>
  <c r="D11" i="3"/>
  <c r="D12" i="3"/>
  <c r="C13" i="3"/>
  <c r="C14" i="3"/>
  <c r="C15" i="3"/>
  <c r="C16" i="3"/>
  <c r="C17" i="3"/>
  <c r="C18" i="3"/>
  <c r="C19" i="3"/>
  <c r="C20" i="3"/>
  <c r="C21" i="3"/>
  <c r="AK21" i="3"/>
  <c r="C22" i="3"/>
  <c r="C23" i="3"/>
  <c r="C24" i="3"/>
  <c r="C25" i="3"/>
  <c r="D25" i="3"/>
  <c r="AK25" i="3"/>
  <c r="C26" i="3"/>
  <c r="D26" i="3"/>
  <c r="AK26" i="3"/>
  <c r="D26" i="4"/>
  <c r="AK26" i="4"/>
  <c r="D26" i="5"/>
  <c r="AK26" i="5"/>
  <c r="D26" i="6"/>
  <c r="AK26" i="6"/>
  <c r="D26" i="7"/>
  <c r="AK26" i="7"/>
  <c r="D26" i="8"/>
  <c r="AK26" i="8"/>
  <c r="D26" i="9"/>
  <c r="AK26" i="9"/>
  <c r="D26" i="10"/>
  <c r="AK26" i="10"/>
  <c r="D26" i="11"/>
  <c r="AK26" i="11"/>
  <c r="D26" i="12"/>
  <c r="AK26" i="12"/>
  <c r="D26" i="13"/>
  <c r="AK26" i="13"/>
  <c r="C27" i="3"/>
  <c r="D27" i="3"/>
  <c r="AK27" i="3"/>
  <c r="C28" i="3"/>
  <c r="D28" i="3"/>
  <c r="AK28" i="3"/>
  <c r="D28" i="4"/>
  <c r="AK28" i="4"/>
  <c r="D28" i="5"/>
  <c r="AK28" i="5"/>
  <c r="D28" i="6"/>
  <c r="AK28" i="6"/>
  <c r="D28" i="7"/>
  <c r="AK28" i="7"/>
  <c r="D28" i="8"/>
  <c r="AK28" i="8"/>
  <c r="D28" i="9"/>
  <c r="AK28" i="9"/>
  <c r="D28" i="10"/>
  <c r="AK28" i="10"/>
  <c r="D28" i="11"/>
  <c r="AK28" i="11"/>
  <c r="D28" i="12"/>
  <c r="AK28" i="12"/>
  <c r="D28" i="13"/>
  <c r="AK28" i="13"/>
  <c r="C29" i="3"/>
  <c r="D29" i="3"/>
  <c r="AK29" i="3"/>
  <c r="C30" i="3"/>
  <c r="D30" i="3"/>
  <c r="AK30" i="3"/>
  <c r="D30" i="4"/>
  <c r="AK30" i="4"/>
  <c r="D30" i="5"/>
  <c r="AK30" i="5"/>
  <c r="D30" i="6"/>
  <c r="AK30" i="6"/>
  <c r="D30" i="7"/>
  <c r="AK30" i="7"/>
  <c r="D30" i="8"/>
  <c r="AK30" i="8"/>
  <c r="D30" i="9"/>
  <c r="AK30" i="9"/>
  <c r="D30" i="10"/>
  <c r="AK30" i="10"/>
  <c r="D30" i="11"/>
  <c r="AK30" i="11"/>
  <c r="D30" i="12"/>
  <c r="AK30" i="12"/>
  <c r="D30" i="13"/>
  <c r="AK30" i="13"/>
  <c r="C31" i="3"/>
  <c r="C32" i="3"/>
  <c r="AJ33" i="3"/>
  <c r="C33" i="3"/>
  <c r="C34" i="3"/>
  <c r="C35" i="3"/>
  <c r="AK35" i="3"/>
  <c r="C36" i="3"/>
  <c r="AK36" i="3"/>
  <c r="C37" i="3"/>
  <c r="AK37" i="3"/>
  <c r="C38" i="3"/>
  <c r="AK38" i="3"/>
  <c r="C39" i="3"/>
  <c r="C40" i="3"/>
  <c r="E40" i="3"/>
  <c r="G40" i="3"/>
  <c r="I40" i="3"/>
  <c r="K40" i="3"/>
  <c r="L40" i="3"/>
  <c r="M40" i="3"/>
  <c r="O40" i="3"/>
  <c r="Q40" i="3"/>
  <c r="S40" i="3"/>
  <c r="U40" i="3"/>
  <c r="W40" i="3"/>
  <c r="X40" i="3"/>
  <c r="Y40" i="3"/>
  <c r="AA40" i="3"/>
  <c r="AC40" i="3"/>
  <c r="AE40" i="3"/>
  <c r="AF40" i="3"/>
  <c r="AG40" i="3"/>
  <c r="AI40" i="3"/>
  <c r="B41" i="3"/>
  <c r="C41" i="3"/>
  <c r="B42" i="3"/>
  <c r="C42" i="3"/>
  <c r="B43" i="3"/>
  <c r="C43" i="3"/>
  <c r="B44" i="3"/>
  <c r="C44" i="3"/>
  <c r="B45" i="3"/>
  <c r="C45" i="3"/>
  <c r="B46" i="3"/>
  <c r="C46" i="3"/>
  <c r="B47" i="3"/>
  <c r="C47" i="3"/>
  <c r="B48" i="3"/>
  <c r="C48" i="3"/>
  <c r="B49" i="3"/>
  <c r="C49" i="3"/>
  <c r="B50" i="3"/>
  <c r="C50" i="3"/>
  <c r="B51" i="3"/>
  <c r="C51" i="3"/>
  <c r="B52" i="3"/>
  <c r="C52" i="3"/>
  <c r="B53" i="3"/>
  <c r="C53" i="3"/>
  <c r="B54" i="3"/>
  <c r="C54" i="3"/>
  <c r="B55" i="3"/>
  <c r="C55" i="3"/>
  <c r="B56" i="3"/>
  <c r="C56" i="3"/>
  <c r="B57" i="3"/>
  <c r="C57" i="3"/>
  <c r="D57" i="3"/>
  <c r="B58" i="3"/>
  <c r="C58" i="3"/>
  <c r="B59" i="3"/>
  <c r="C59" i="3"/>
  <c r="B60" i="3"/>
  <c r="C60" i="3"/>
  <c r="B61" i="3"/>
  <c r="C61" i="3"/>
  <c r="B62" i="3"/>
  <c r="C62" i="3"/>
  <c r="B63" i="3"/>
  <c r="C63" i="3"/>
  <c r="B64" i="3"/>
  <c r="C64" i="3"/>
  <c r="B65" i="3"/>
  <c r="C65" i="3"/>
  <c r="B66" i="3"/>
  <c r="C66" i="3"/>
  <c r="B67" i="3"/>
  <c r="C67" i="3"/>
  <c r="B68" i="3"/>
  <c r="C68" i="3"/>
  <c r="B69" i="3"/>
  <c r="C69" i="3"/>
  <c r="B70" i="3"/>
  <c r="C70" i="3"/>
  <c r="B71" i="3"/>
  <c r="C71" i="3"/>
  <c r="B72" i="3"/>
  <c r="C72" i="3"/>
  <c r="B73" i="3"/>
  <c r="C73" i="3"/>
  <c r="B74" i="3"/>
  <c r="C74" i="3"/>
  <c r="B75" i="3"/>
  <c r="C75" i="3"/>
  <c r="B76" i="3"/>
  <c r="C76" i="3"/>
  <c r="B77" i="3"/>
  <c r="C77" i="3"/>
  <c r="B78" i="3"/>
  <c r="C78" i="3"/>
  <c r="B79" i="3"/>
  <c r="C79" i="3"/>
  <c r="B80" i="3"/>
  <c r="C80" i="3"/>
  <c r="B81" i="3"/>
  <c r="C81" i="3"/>
  <c r="B82" i="3"/>
  <c r="C82" i="3"/>
  <c r="B83" i="3"/>
  <c r="C83" i="3"/>
  <c r="B84" i="3"/>
  <c r="C84" i="3"/>
  <c r="C87" i="3"/>
  <c r="C94" i="3"/>
  <c r="C95" i="3"/>
  <c r="C96" i="3"/>
  <c r="C97" i="3"/>
  <c r="C98" i="3"/>
  <c r="C99" i="3"/>
  <c r="C100" i="3"/>
  <c r="C101" i="3"/>
  <c r="C102" i="3"/>
  <c r="C103" i="3"/>
  <c r="C104" i="3"/>
  <c r="C105" i="3"/>
  <c r="AJ106" i="3"/>
  <c r="D7" i="4"/>
  <c r="D8" i="4"/>
  <c r="D9" i="4"/>
  <c r="D10" i="4"/>
  <c r="D11" i="4"/>
  <c r="D12" i="4"/>
  <c r="C13" i="4"/>
  <c r="C14" i="4"/>
  <c r="C15" i="4"/>
  <c r="C16" i="4"/>
  <c r="C17" i="4"/>
  <c r="C18" i="4"/>
  <c r="C19" i="4"/>
  <c r="C20" i="4"/>
  <c r="C21" i="4"/>
  <c r="AK21" i="4"/>
  <c r="C22" i="4"/>
  <c r="C23" i="4"/>
  <c r="C24" i="4"/>
  <c r="C25" i="4"/>
  <c r="D25" i="4"/>
  <c r="AK25" i="4"/>
  <c r="D25" i="5"/>
  <c r="AK25" i="5"/>
  <c r="D25" i="6"/>
  <c r="AK25" i="6"/>
  <c r="D25" i="7"/>
  <c r="AK25" i="7"/>
  <c r="D25" i="8"/>
  <c r="AK25" i="8"/>
  <c r="D25" i="9"/>
  <c r="AK25" i="9"/>
  <c r="D25" i="10"/>
  <c r="AK25" i="10"/>
  <c r="D25" i="11"/>
  <c r="AK25" i="11"/>
  <c r="D25" i="12"/>
  <c r="AK25" i="12"/>
  <c r="D25" i="13"/>
  <c r="AK25" i="13"/>
  <c r="C26" i="4"/>
  <c r="C27" i="4"/>
  <c r="D27" i="4"/>
  <c r="AK27" i="4"/>
  <c r="D27" i="5"/>
  <c r="AK27" i="5"/>
  <c r="D27" i="6"/>
  <c r="AK27" i="6"/>
  <c r="D27" i="7"/>
  <c r="AK27" i="7"/>
  <c r="D27" i="8"/>
  <c r="AK27" i="8"/>
  <c r="D27" i="9"/>
  <c r="AK27" i="9"/>
  <c r="D27" i="10"/>
  <c r="AK27" i="10"/>
  <c r="D27" i="11"/>
  <c r="AK27" i="11"/>
  <c r="D27" i="12"/>
  <c r="AK27" i="12"/>
  <c r="D27" i="13"/>
  <c r="AK27" i="13"/>
  <c r="C28" i="4"/>
  <c r="C29" i="4"/>
  <c r="D29" i="4"/>
  <c r="AK29" i="4"/>
  <c r="D29" i="5"/>
  <c r="AK29" i="5"/>
  <c r="D29" i="6"/>
  <c r="AK29" i="6"/>
  <c r="D29" i="7"/>
  <c r="AK29" i="7"/>
  <c r="D29" i="8"/>
  <c r="AK29" i="8"/>
  <c r="D29" i="9"/>
  <c r="AK29" i="9"/>
  <c r="D29" i="10"/>
  <c r="AK29" i="10"/>
  <c r="D29" i="11"/>
  <c r="AK29" i="11"/>
  <c r="D29" i="12"/>
  <c r="AK29" i="12"/>
  <c r="D29" i="13"/>
  <c r="AK29" i="13"/>
  <c r="C30" i="4"/>
  <c r="C31" i="4"/>
  <c r="C32" i="4"/>
  <c r="AJ33" i="4"/>
  <c r="C33" i="4"/>
  <c r="C34" i="4"/>
  <c r="C35" i="4"/>
  <c r="AK35" i="4"/>
  <c r="C36" i="4"/>
  <c r="AK36" i="4"/>
  <c r="C37" i="4"/>
  <c r="AK37" i="4"/>
  <c r="C38" i="4"/>
  <c r="AK38" i="4"/>
  <c r="C39" i="4"/>
  <c r="C40" i="4"/>
  <c r="E40" i="4"/>
  <c r="F40" i="4"/>
  <c r="G40" i="4"/>
  <c r="I40" i="4"/>
  <c r="J40" i="4"/>
  <c r="K40" i="4"/>
  <c r="L40" i="4"/>
  <c r="N40" i="4"/>
  <c r="O40" i="4"/>
  <c r="P40" i="4"/>
  <c r="Q40" i="4"/>
  <c r="R40" i="4"/>
  <c r="S40" i="4"/>
  <c r="T40" i="4"/>
  <c r="U40" i="4"/>
  <c r="W40" i="4"/>
  <c r="X40" i="4"/>
  <c r="Y40" i="4"/>
  <c r="Z40" i="4"/>
  <c r="AA40" i="4"/>
  <c r="AB40" i="4"/>
  <c r="AE40" i="4"/>
  <c r="AF40" i="4"/>
  <c r="AG40" i="4"/>
  <c r="AI40" i="4"/>
  <c r="B41" i="4"/>
  <c r="C41" i="4"/>
  <c r="B42" i="4"/>
  <c r="C42" i="4"/>
  <c r="B43" i="4"/>
  <c r="C43" i="4"/>
  <c r="B44" i="4"/>
  <c r="C44" i="4"/>
  <c r="B45" i="4"/>
  <c r="C45" i="4"/>
  <c r="B46" i="4"/>
  <c r="C46" i="4"/>
  <c r="B47" i="4"/>
  <c r="C47" i="4"/>
  <c r="B48" i="4"/>
  <c r="C48" i="4"/>
  <c r="B49" i="4"/>
  <c r="C49" i="4"/>
  <c r="B50" i="4"/>
  <c r="C50" i="4"/>
  <c r="B51" i="4"/>
  <c r="C51" i="4"/>
  <c r="B52" i="4"/>
  <c r="C52" i="4"/>
  <c r="B53" i="4"/>
  <c r="C53" i="4"/>
  <c r="B54" i="4"/>
  <c r="C54" i="4"/>
  <c r="B55" i="4"/>
  <c r="C55" i="4"/>
  <c r="B56" i="4"/>
  <c r="C56" i="4"/>
  <c r="B57" i="4"/>
  <c r="C57" i="4"/>
  <c r="D57" i="4"/>
  <c r="B58" i="4"/>
  <c r="C58" i="4"/>
  <c r="B59" i="4"/>
  <c r="C59" i="4"/>
  <c r="B60" i="4"/>
  <c r="C60" i="4"/>
  <c r="B61" i="4"/>
  <c r="C61" i="4"/>
  <c r="B62" i="4"/>
  <c r="C62" i="4"/>
  <c r="B63" i="4"/>
  <c r="C63" i="4"/>
  <c r="B64" i="4"/>
  <c r="C64" i="4"/>
  <c r="B65" i="4"/>
  <c r="C65" i="4"/>
  <c r="B66" i="4"/>
  <c r="C66" i="4"/>
  <c r="B67" i="4"/>
  <c r="C67" i="4"/>
  <c r="B68" i="4"/>
  <c r="C68" i="4"/>
  <c r="B69" i="4"/>
  <c r="C69" i="4"/>
  <c r="B70" i="4"/>
  <c r="C70" i="4"/>
  <c r="B71" i="4"/>
  <c r="C71" i="4"/>
  <c r="B72" i="4"/>
  <c r="C72" i="4"/>
  <c r="B73" i="4"/>
  <c r="C73" i="4"/>
  <c r="B74" i="4"/>
  <c r="C74" i="4"/>
  <c r="B75" i="4"/>
  <c r="C75" i="4"/>
  <c r="B76" i="4"/>
  <c r="C76" i="4"/>
  <c r="B77" i="4"/>
  <c r="C77" i="4"/>
  <c r="B78" i="4"/>
  <c r="C78" i="4"/>
  <c r="B79" i="4"/>
  <c r="C79" i="4"/>
  <c r="B80" i="4"/>
  <c r="C80" i="4"/>
  <c r="B81" i="4"/>
  <c r="C81" i="4"/>
  <c r="B82" i="4"/>
  <c r="C82" i="4"/>
  <c r="B83" i="4"/>
  <c r="C83" i="4"/>
  <c r="B84" i="4"/>
  <c r="C84" i="4"/>
  <c r="AK85" i="4"/>
  <c r="C87" i="4"/>
  <c r="C94" i="4"/>
  <c r="C95" i="4"/>
  <c r="C96" i="4"/>
  <c r="C97" i="4"/>
  <c r="C98" i="4"/>
  <c r="C99" i="4"/>
  <c r="C100" i="4"/>
  <c r="C101" i="4"/>
  <c r="C102" i="4"/>
  <c r="C103" i="4"/>
  <c r="C104" i="4"/>
  <c r="C105" i="4"/>
  <c r="AJ106" i="4"/>
  <c r="D7" i="5"/>
  <c r="D8" i="5"/>
  <c r="D9" i="5"/>
  <c r="D10" i="5"/>
  <c r="D11" i="5"/>
  <c r="D12" i="5"/>
  <c r="C13" i="5"/>
  <c r="C14" i="5"/>
  <c r="C15" i="5"/>
  <c r="C16" i="5"/>
  <c r="C17" i="5"/>
  <c r="C18" i="5"/>
  <c r="C19" i="5"/>
  <c r="C20" i="5"/>
  <c r="C21" i="5"/>
  <c r="AK21" i="5"/>
  <c r="C22" i="5"/>
  <c r="C23" i="5"/>
  <c r="C24" i="5"/>
  <c r="C25" i="5"/>
  <c r="C26" i="5"/>
  <c r="C27" i="5"/>
  <c r="C28" i="5"/>
  <c r="C29" i="5"/>
  <c r="C30" i="5"/>
  <c r="C31" i="5"/>
  <c r="C32" i="5"/>
  <c r="AJ33" i="5"/>
  <c r="AJ33" i="6"/>
  <c r="AJ33" i="7"/>
  <c r="C33" i="5"/>
  <c r="C34" i="5"/>
  <c r="C35" i="5"/>
  <c r="AK35" i="5"/>
  <c r="C36" i="5"/>
  <c r="AK36" i="5"/>
  <c r="C37" i="5"/>
  <c r="AK37" i="5"/>
  <c r="C38" i="5"/>
  <c r="AK38" i="5"/>
  <c r="C39" i="5"/>
  <c r="C40" i="5"/>
  <c r="F40" i="5"/>
  <c r="G40" i="5"/>
  <c r="H40" i="5"/>
  <c r="I40" i="5"/>
  <c r="J40" i="5"/>
  <c r="K40" i="5"/>
  <c r="M40" i="5"/>
  <c r="N40" i="5"/>
  <c r="O40" i="5"/>
  <c r="P40" i="5"/>
  <c r="Q40" i="5"/>
  <c r="R40" i="5"/>
  <c r="S40" i="5"/>
  <c r="T40" i="5"/>
  <c r="U40" i="5"/>
  <c r="V40" i="5"/>
  <c r="W40" i="5"/>
  <c r="X40" i="5"/>
  <c r="Y40" i="5"/>
  <c r="Z40" i="5"/>
  <c r="AA40" i="5"/>
  <c r="AB40" i="5"/>
  <c r="AC40" i="5"/>
  <c r="AD40" i="5"/>
  <c r="AE40" i="5"/>
  <c r="AF40" i="5"/>
  <c r="AG40" i="5"/>
  <c r="AH40" i="5"/>
  <c r="AI40" i="5"/>
  <c r="B41" i="5"/>
  <c r="C41" i="5"/>
  <c r="B42" i="5"/>
  <c r="C42" i="5"/>
  <c r="B43" i="5"/>
  <c r="C43" i="5"/>
  <c r="B44" i="5"/>
  <c r="C44" i="5"/>
  <c r="B45" i="5"/>
  <c r="C45" i="5"/>
  <c r="B46" i="5"/>
  <c r="C46" i="5"/>
  <c r="B47" i="5"/>
  <c r="C47" i="5"/>
  <c r="B48" i="5"/>
  <c r="C48" i="5"/>
  <c r="B49" i="5"/>
  <c r="C49" i="5"/>
  <c r="B50" i="5"/>
  <c r="C50" i="5"/>
  <c r="B51" i="5"/>
  <c r="C51" i="5"/>
  <c r="B52" i="5"/>
  <c r="C52" i="5"/>
  <c r="B53" i="5"/>
  <c r="C53" i="5"/>
  <c r="B54" i="5"/>
  <c r="C54" i="5"/>
  <c r="B55" i="5"/>
  <c r="C55" i="5"/>
  <c r="B56" i="5"/>
  <c r="C56" i="5"/>
  <c r="B57" i="5"/>
  <c r="C57" i="5"/>
  <c r="D57" i="5"/>
  <c r="B58" i="5"/>
  <c r="C58" i="5"/>
  <c r="B59" i="5"/>
  <c r="C59" i="5"/>
  <c r="B60" i="5"/>
  <c r="C60" i="5"/>
  <c r="B61" i="5"/>
  <c r="C61" i="5"/>
  <c r="B62" i="5"/>
  <c r="C62" i="5"/>
  <c r="B63" i="5"/>
  <c r="C63" i="5"/>
  <c r="B64" i="5"/>
  <c r="C64" i="5"/>
  <c r="B65" i="5"/>
  <c r="C65" i="5"/>
  <c r="B66" i="5"/>
  <c r="C66" i="5"/>
  <c r="B67" i="5"/>
  <c r="C67" i="5"/>
  <c r="B68" i="5"/>
  <c r="C68" i="5"/>
  <c r="B69" i="5"/>
  <c r="C69" i="5"/>
  <c r="B70" i="5"/>
  <c r="C70" i="5"/>
  <c r="B71" i="5"/>
  <c r="C71" i="5"/>
  <c r="B72" i="5"/>
  <c r="C72" i="5"/>
  <c r="B73" i="5"/>
  <c r="C73" i="5"/>
  <c r="B74" i="5"/>
  <c r="C74" i="5"/>
  <c r="B75" i="5"/>
  <c r="C75" i="5"/>
  <c r="B76" i="5"/>
  <c r="C76" i="5"/>
  <c r="B77" i="5"/>
  <c r="C77" i="5"/>
  <c r="B78" i="5"/>
  <c r="C78" i="5"/>
  <c r="B79" i="5"/>
  <c r="C79" i="5"/>
  <c r="B80" i="5"/>
  <c r="C80" i="5"/>
  <c r="B81" i="5"/>
  <c r="C81" i="5"/>
  <c r="B82" i="5"/>
  <c r="C82" i="5"/>
  <c r="B83" i="5"/>
  <c r="C83" i="5"/>
  <c r="B84" i="5"/>
  <c r="C84" i="5"/>
  <c r="AK85" i="5"/>
  <c r="C87" i="5"/>
  <c r="C94" i="5"/>
  <c r="C95" i="5"/>
  <c r="C96" i="5"/>
  <c r="C97" i="5"/>
  <c r="C98" i="5"/>
  <c r="C99" i="5"/>
  <c r="C100" i="5"/>
  <c r="C101" i="5"/>
  <c r="C102" i="5"/>
  <c r="C103" i="5"/>
  <c r="C104" i="5"/>
  <c r="C105" i="5"/>
  <c r="AJ106" i="5"/>
  <c r="D7" i="6"/>
  <c r="D8" i="6"/>
  <c r="D9" i="6"/>
  <c r="D10" i="6"/>
  <c r="D11" i="6"/>
  <c r="D12" i="6"/>
  <c r="C13" i="6"/>
  <c r="C14" i="6"/>
  <c r="C15" i="6"/>
  <c r="C16" i="6"/>
  <c r="C17" i="6"/>
  <c r="C18" i="6"/>
  <c r="C19" i="6"/>
  <c r="C20" i="6"/>
  <c r="C21" i="6"/>
  <c r="AK21" i="6"/>
  <c r="C22" i="6"/>
  <c r="C23" i="6"/>
  <c r="C24" i="6"/>
  <c r="C25" i="6"/>
  <c r="C26" i="6"/>
  <c r="C27" i="6"/>
  <c r="C28" i="6"/>
  <c r="C29" i="6"/>
  <c r="C30" i="6"/>
  <c r="C31" i="6"/>
  <c r="C32" i="6"/>
  <c r="C33" i="6"/>
  <c r="C34" i="6"/>
  <c r="C35" i="6"/>
  <c r="D35" i="6"/>
  <c r="AK35" i="6"/>
  <c r="D35" i="7"/>
  <c r="AK35" i="7"/>
  <c r="C36" i="6"/>
  <c r="D36" i="6"/>
  <c r="AK36" i="6"/>
  <c r="D36" i="7"/>
  <c r="AK36" i="7"/>
  <c r="C37" i="6"/>
  <c r="D37" i="6"/>
  <c r="AK37" i="6"/>
  <c r="D37" i="7"/>
  <c r="AK37" i="7"/>
  <c r="C38" i="6"/>
  <c r="D38" i="6"/>
  <c r="AK38" i="6"/>
  <c r="D38" i="7"/>
  <c r="AK38" i="7"/>
  <c r="C39" i="6"/>
  <c r="D39" i="6"/>
  <c r="C40" i="6"/>
  <c r="E40" i="6"/>
  <c r="F40" i="6"/>
  <c r="G40" i="6"/>
  <c r="H40" i="6"/>
  <c r="I40" i="6"/>
  <c r="J40" i="6"/>
  <c r="K40" i="6"/>
  <c r="L40" i="6"/>
  <c r="M40" i="6"/>
  <c r="N40" i="6"/>
  <c r="O40" i="6"/>
  <c r="P40" i="6"/>
  <c r="Q40" i="6"/>
  <c r="R40" i="6"/>
  <c r="S40" i="6"/>
  <c r="T40" i="6"/>
  <c r="U40" i="6"/>
  <c r="V40" i="6"/>
  <c r="W40" i="6"/>
  <c r="X40" i="6"/>
  <c r="Y40" i="6"/>
  <c r="Z40" i="6"/>
  <c r="AA40" i="6"/>
  <c r="AB40" i="6"/>
  <c r="AC40" i="6"/>
  <c r="AD40" i="6"/>
  <c r="AE40" i="6"/>
  <c r="AF40" i="6"/>
  <c r="AG40" i="6"/>
  <c r="AH40" i="6"/>
  <c r="B41" i="6"/>
  <c r="C41" i="6"/>
  <c r="B42" i="6"/>
  <c r="C42" i="6"/>
  <c r="B43" i="6"/>
  <c r="C43" i="6"/>
  <c r="B44" i="6"/>
  <c r="C44" i="6"/>
  <c r="B45" i="6"/>
  <c r="C45" i="6"/>
  <c r="B46" i="6"/>
  <c r="C46" i="6"/>
  <c r="B47" i="6"/>
  <c r="C47" i="6"/>
  <c r="B48" i="6"/>
  <c r="C48" i="6"/>
  <c r="B49" i="6"/>
  <c r="C49" i="6"/>
  <c r="B50" i="6"/>
  <c r="C50" i="6"/>
  <c r="B51" i="6"/>
  <c r="C51" i="6"/>
  <c r="B52" i="6"/>
  <c r="C52" i="6"/>
  <c r="B53" i="6"/>
  <c r="C53" i="6"/>
  <c r="B54" i="6"/>
  <c r="C54" i="6"/>
  <c r="B55" i="6"/>
  <c r="C55" i="6"/>
  <c r="B56" i="6"/>
  <c r="C56" i="6"/>
  <c r="B57" i="6"/>
  <c r="C57" i="6"/>
  <c r="D57" i="6"/>
  <c r="B58" i="6"/>
  <c r="C58" i="6"/>
  <c r="B59" i="6"/>
  <c r="C59" i="6"/>
  <c r="B60" i="6"/>
  <c r="C60" i="6"/>
  <c r="B61" i="6"/>
  <c r="C61" i="6"/>
  <c r="B62" i="6"/>
  <c r="C62" i="6"/>
  <c r="B63" i="6"/>
  <c r="C63" i="6"/>
  <c r="B64" i="6"/>
  <c r="C64" i="6"/>
  <c r="B65" i="6"/>
  <c r="C65" i="6"/>
  <c r="B66" i="6"/>
  <c r="C66" i="6"/>
  <c r="B67" i="6"/>
  <c r="C67" i="6"/>
  <c r="B68" i="6"/>
  <c r="C68" i="6"/>
  <c r="B69" i="6"/>
  <c r="C69" i="6"/>
  <c r="B70" i="6"/>
  <c r="C70" i="6"/>
  <c r="B71" i="6"/>
  <c r="C71" i="6"/>
  <c r="B72" i="6"/>
  <c r="C72" i="6"/>
  <c r="B73" i="6"/>
  <c r="C73" i="6"/>
  <c r="B74" i="6"/>
  <c r="C74" i="6"/>
  <c r="B75" i="6"/>
  <c r="C75" i="6"/>
  <c r="B76" i="6"/>
  <c r="C76" i="6"/>
  <c r="B77" i="6"/>
  <c r="C77" i="6"/>
  <c r="B78" i="6"/>
  <c r="C78" i="6"/>
  <c r="B79" i="6"/>
  <c r="C79" i="6"/>
  <c r="B80" i="6"/>
  <c r="C80" i="6"/>
  <c r="B81" i="6"/>
  <c r="C81" i="6"/>
  <c r="B82" i="6"/>
  <c r="C82" i="6"/>
  <c r="B83" i="6"/>
  <c r="C83" i="6"/>
  <c r="B84" i="6"/>
  <c r="C84" i="6"/>
  <c r="C87" i="6"/>
  <c r="C94" i="6"/>
  <c r="C95" i="6"/>
  <c r="C96" i="6"/>
  <c r="C97" i="6"/>
  <c r="C98" i="6"/>
  <c r="C99" i="6"/>
  <c r="C100" i="6"/>
  <c r="C101" i="6"/>
  <c r="C102" i="6"/>
  <c r="C103" i="6"/>
  <c r="C104" i="6"/>
  <c r="C105" i="6"/>
  <c r="AJ106" i="6"/>
  <c r="D7" i="7"/>
  <c r="D8" i="7"/>
  <c r="D9" i="7"/>
  <c r="D10" i="7"/>
  <c r="D11" i="7"/>
  <c r="D12" i="7"/>
  <c r="C13" i="7"/>
  <c r="AJ13" i="7"/>
  <c r="C14" i="7"/>
  <c r="C15" i="7"/>
  <c r="C16" i="7"/>
  <c r="C17" i="7"/>
  <c r="C18" i="7"/>
  <c r="C19" i="7"/>
  <c r="C20" i="7"/>
  <c r="C21" i="7"/>
  <c r="AK21" i="7"/>
  <c r="C22" i="7"/>
  <c r="C23" i="7"/>
  <c r="C24" i="7"/>
  <c r="C25" i="7"/>
  <c r="C26" i="7"/>
  <c r="C27" i="7"/>
  <c r="C28" i="7"/>
  <c r="C29" i="7"/>
  <c r="C30" i="7"/>
  <c r="C31" i="7"/>
  <c r="C32" i="7"/>
  <c r="C33" i="7"/>
  <c r="C34" i="7"/>
  <c r="C35" i="7"/>
  <c r="C36" i="7"/>
  <c r="C37" i="7"/>
  <c r="C38" i="7"/>
  <c r="C39" i="7"/>
  <c r="D39" i="7"/>
  <c r="C40" i="7"/>
  <c r="E40" i="7"/>
  <c r="F40" i="7"/>
  <c r="G40" i="7"/>
  <c r="H40" i="7"/>
  <c r="I40" i="7"/>
  <c r="J40" i="7"/>
  <c r="K40" i="7"/>
  <c r="L40" i="7"/>
  <c r="M40" i="7"/>
  <c r="N40" i="7"/>
  <c r="O40" i="7"/>
  <c r="P40" i="7"/>
  <c r="Q40" i="7"/>
  <c r="R40" i="7"/>
  <c r="S40" i="7"/>
  <c r="T40" i="7"/>
  <c r="U40" i="7"/>
  <c r="V40" i="7"/>
  <c r="W40" i="7"/>
  <c r="X40" i="7"/>
  <c r="Y40" i="7"/>
  <c r="Z40" i="7"/>
  <c r="AA40" i="7"/>
  <c r="AB40" i="7"/>
  <c r="AC40" i="7"/>
  <c r="AD40" i="7"/>
  <c r="AE40" i="7"/>
  <c r="AF40" i="7"/>
  <c r="AG40" i="7"/>
  <c r="AH40" i="7"/>
  <c r="AI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D57" i="7"/>
  <c r="B58" i="7"/>
  <c r="C58" i="7"/>
  <c r="B59" i="7"/>
  <c r="C59" i="7"/>
  <c r="B60" i="7"/>
  <c r="C60" i="7"/>
  <c r="B61" i="7"/>
  <c r="C61" i="7"/>
  <c r="B62" i="7"/>
  <c r="C62" i="7"/>
  <c r="B63" i="7"/>
  <c r="C63" i="7"/>
  <c r="B64" i="7"/>
  <c r="C64" i="7"/>
  <c r="B65" i="7"/>
  <c r="C65" i="7"/>
  <c r="B66" i="7"/>
  <c r="C66" i="7"/>
  <c r="B67" i="7"/>
  <c r="C67" i="7"/>
  <c r="B68" i="7"/>
  <c r="C68" i="7"/>
  <c r="B69" i="7"/>
  <c r="C69" i="7"/>
  <c r="B70" i="7"/>
  <c r="C70" i="7"/>
  <c r="B71" i="7"/>
  <c r="C71" i="7"/>
  <c r="B72" i="7"/>
  <c r="C72" i="7"/>
  <c r="B73" i="7"/>
  <c r="C73" i="7"/>
  <c r="B74" i="7"/>
  <c r="C74" i="7"/>
  <c r="B75" i="7"/>
  <c r="C75" i="7"/>
  <c r="B76" i="7"/>
  <c r="C76" i="7"/>
  <c r="B77" i="7"/>
  <c r="C77" i="7"/>
  <c r="B78" i="7"/>
  <c r="C78" i="7"/>
  <c r="B79" i="7"/>
  <c r="C79" i="7"/>
  <c r="B80" i="7"/>
  <c r="C80" i="7"/>
  <c r="B81" i="7"/>
  <c r="C81" i="7"/>
  <c r="B82" i="7"/>
  <c r="C82" i="7"/>
  <c r="B83" i="7"/>
  <c r="C83" i="7"/>
  <c r="B84" i="7"/>
  <c r="C84" i="7"/>
  <c r="AK85" i="7"/>
  <c r="C87" i="7"/>
  <c r="C94" i="7"/>
  <c r="C95" i="7"/>
  <c r="C96" i="7"/>
  <c r="C97" i="7"/>
  <c r="C98" i="7"/>
  <c r="C99" i="7"/>
  <c r="C100" i="7"/>
  <c r="C101" i="7"/>
  <c r="C102" i="7"/>
  <c r="C103" i="7"/>
  <c r="C104" i="7"/>
  <c r="C105" i="7"/>
  <c r="AJ106" i="7"/>
  <c r="D7" i="8"/>
  <c r="D8" i="8"/>
  <c r="D9" i="8"/>
  <c r="D10" i="8"/>
  <c r="D11" i="8"/>
  <c r="D12" i="8"/>
  <c r="C13" i="8"/>
  <c r="AJ13" i="8"/>
  <c r="C14" i="8"/>
  <c r="C15" i="8"/>
  <c r="C16" i="8"/>
  <c r="C17" i="8"/>
  <c r="C18" i="8"/>
  <c r="C19" i="8"/>
  <c r="C20" i="8"/>
  <c r="C21" i="8"/>
  <c r="AK21" i="8"/>
  <c r="C22" i="8"/>
  <c r="C23" i="8"/>
  <c r="C24" i="8"/>
  <c r="C25" i="8"/>
  <c r="C26" i="8"/>
  <c r="C27" i="8"/>
  <c r="C28" i="8"/>
  <c r="C29" i="8"/>
  <c r="C30" i="8"/>
  <c r="C31" i="8"/>
  <c r="C32" i="8"/>
  <c r="AJ33" i="8"/>
  <c r="C33" i="8"/>
  <c r="C34" i="8"/>
  <c r="C35" i="8"/>
  <c r="AK35" i="8"/>
  <c r="C36" i="8"/>
  <c r="AK36" i="8"/>
  <c r="C37" i="8"/>
  <c r="AK37" i="8"/>
  <c r="C38" i="8"/>
  <c r="AK38" i="8"/>
  <c r="C39" i="8"/>
  <c r="C40" i="8"/>
  <c r="E40" i="8"/>
  <c r="F40" i="8"/>
  <c r="G40" i="8"/>
  <c r="H40" i="8"/>
  <c r="I40" i="8"/>
  <c r="J40" i="8"/>
  <c r="K40" i="8"/>
  <c r="L40" i="8"/>
  <c r="M40" i="8"/>
  <c r="N40" i="8"/>
  <c r="O40" i="8"/>
  <c r="P40" i="8"/>
  <c r="Q40" i="8"/>
  <c r="R40" i="8"/>
  <c r="S40" i="8"/>
  <c r="T40" i="8"/>
  <c r="U40" i="8"/>
  <c r="V40" i="8"/>
  <c r="W40" i="8"/>
  <c r="X40" i="8"/>
  <c r="Y40" i="8"/>
  <c r="Z40" i="8"/>
  <c r="AA40" i="8"/>
  <c r="AB40" i="8"/>
  <c r="AC40" i="8"/>
  <c r="AD40" i="8"/>
  <c r="AE40" i="8"/>
  <c r="AF40" i="8"/>
  <c r="AG40" i="8"/>
  <c r="AH40" i="8"/>
  <c r="AI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B56" i="8"/>
  <c r="C56" i="8"/>
  <c r="B57" i="8"/>
  <c r="C57" i="8"/>
  <c r="D57" i="8"/>
  <c r="B58" i="8"/>
  <c r="C58" i="8"/>
  <c r="B59" i="8"/>
  <c r="C59" i="8"/>
  <c r="B60" i="8"/>
  <c r="C60" i="8"/>
  <c r="B61" i="8"/>
  <c r="C61" i="8"/>
  <c r="B62" i="8"/>
  <c r="C62" i="8"/>
  <c r="B63" i="8"/>
  <c r="C63" i="8"/>
  <c r="B64" i="8"/>
  <c r="C64" i="8"/>
  <c r="B65" i="8"/>
  <c r="C65" i="8"/>
  <c r="B66" i="8"/>
  <c r="C66" i="8"/>
  <c r="B67" i="8"/>
  <c r="C67" i="8"/>
  <c r="B68" i="8"/>
  <c r="C68" i="8"/>
  <c r="B69" i="8"/>
  <c r="C69" i="8"/>
  <c r="B70" i="8"/>
  <c r="C70" i="8"/>
  <c r="B71" i="8"/>
  <c r="C71" i="8"/>
  <c r="B72" i="8"/>
  <c r="C72" i="8"/>
  <c r="B73" i="8"/>
  <c r="C73" i="8"/>
  <c r="B74" i="8"/>
  <c r="C74" i="8"/>
  <c r="B75" i="8"/>
  <c r="C75" i="8"/>
  <c r="B76" i="8"/>
  <c r="C76" i="8"/>
  <c r="B77" i="8"/>
  <c r="C77" i="8"/>
  <c r="B78" i="8"/>
  <c r="C78" i="8"/>
  <c r="B79" i="8"/>
  <c r="C79" i="8"/>
  <c r="B80" i="8"/>
  <c r="C80" i="8"/>
  <c r="B81" i="8"/>
  <c r="C81" i="8"/>
  <c r="B82" i="8"/>
  <c r="C82" i="8"/>
  <c r="B83" i="8"/>
  <c r="C83" i="8"/>
  <c r="B84" i="8"/>
  <c r="C84" i="8"/>
  <c r="C87" i="8"/>
  <c r="C94" i="8"/>
  <c r="C95" i="8"/>
  <c r="C96" i="8"/>
  <c r="C97" i="8"/>
  <c r="C98" i="8"/>
  <c r="C99" i="8"/>
  <c r="C100" i="8"/>
  <c r="C101" i="8"/>
  <c r="C102" i="8"/>
  <c r="C103" i="8"/>
  <c r="C104" i="8"/>
  <c r="C105" i="8"/>
  <c r="AJ106" i="8"/>
  <c r="D7" i="9"/>
  <c r="D8" i="9"/>
  <c r="D9" i="9"/>
  <c r="D10" i="9"/>
  <c r="D11" i="9"/>
  <c r="D12" i="9"/>
  <c r="C13" i="9"/>
  <c r="AJ13" i="9"/>
  <c r="C14" i="9"/>
  <c r="C15" i="9"/>
  <c r="C16" i="9"/>
  <c r="C17" i="9"/>
  <c r="C18" i="9"/>
  <c r="C19" i="9"/>
  <c r="C20" i="9"/>
  <c r="C21" i="9"/>
  <c r="AK21" i="9"/>
  <c r="C22" i="9"/>
  <c r="C23" i="9"/>
  <c r="C24" i="9"/>
  <c r="C25" i="9"/>
  <c r="C26" i="9"/>
  <c r="C27" i="9"/>
  <c r="C28" i="9"/>
  <c r="C29" i="9"/>
  <c r="C30" i="9"/>
  <c r="C31" i="9"/>
  <c r="C32" i="9"/>
  <c r="AJ33" i="9"/>
  <c r="C33" i="9"/>
  <c r="C34" i="9"/>
  <c r="C35" i="9"/>
  <c r="AK35" i="9"/>
  <c r="C36" i="9"/>
  <c r="AK36" i="9"/>
  <c r="C37" i="9"/>
  <c r="AK37" i="9"/>
  <c r="C38" i="9"/>
  <c r="AK38" i="9"/>
  <c r="C39" i="9"/>
  <c r="C40" i="9"/>
  <c r="E40" i="9"/>
  <c r="F40" i="9"/>
  <c r="G40" i="9"/>
  <c r="H40" i="9"/>
  <c r="I40" i="9"/>
  <c r="J40" i="9"/>
  <c r="K40" i="9"/>
  <c r="L40" i="9"/>
  <c r="M40" i="9"/>
  <c r="N40" i="9"/>
  <c r="O40" i="9"/>
  <c r="P40" i="9"/>
  <c r="Q40" i="9"/>
  <c r="R40" i="9"/>
  <c r="S40" i="9"/>
  <c r="T40" i="9"/>
  <c r="U40" i="9"/>
  <c r="V40" i="9"/>
  <c r="W40" i="9"/>
  <c r="X40" i="9"/>
  <c r="Y40" i="9"/>
  <c r="Z40" i="9"/>
  <c r="AA40" i="9"/>
  <c r="AB40" i="9"/>
  <c r="AC40" i="9"/>
  <c r="AD40" i="9"/>
  <c r="AE40" i="9"/>
  <c r="AF40" i="9"/>
  <c r="AG40" i="9"/>
  <c r="AH40" i="9"/>
  <c r="AI40" i="9"/>
  <c r="B41" i="9"/>
  <c r="C41" i="9"/>
  <c r="B42" i="9"/>
  <c r="C42" i="9"/>
  <c r="B43" i="9"/>
  <c r="C43" i="9"/>
  <c r="B44" i="9"/>
  <c r="C44" i="9"/>
  <c r="B45" i="9"/>
  <c r="C45" i="9"/>
  <c r="B46" i="9"/>
  <c r="C46" i="9"/>
  <c r="B47" i="9"/>
  <c r="C47" i="9"/>
  <c r="B48" i="9"/>
  <c r="C48" i="9"/>
  <c r="B49" i="9"/>
  <c r="C49" i="9"/>
  <c r="B50" i="9"/>
  <c r="C50" i="9"/>
  <c r="B51" i="9"/>
  <c r="C51" i="9"/>
  <c r="B52" i="9"/>
  <c r="C52" i="9"/>
  <c r="B53" i="9"/>
  <c r="C53" i="9"/>
  <c r="B54" i="9"/>
  <c r="C54" i="9"/>
  <c r="B55" i="9"/>
  <c r="C55" i="9"/>
  <c r="B56" i="9"/>
  <c r="C56" i="9"/>
  <c r="B57" i="9"/>
  <c r="C57" i="9"/>
  <c r="D57" i="9"/>
  <c r="B58" i="9"/>
  <c r="C58" i="9"/>
  <c r="B59" i="9"/>
  <c r="C59" i="9"/>
  <c r="B60" i="9"/>
  <c r="C60" i="9"/>
  <c r="B61" i="9"/>
  <c r="C61" i="9"/>
  <c r="B62" i="9"/>
  <c r="C62" i="9"/>
  <c r="B63" i="9"/>
  <c r="C63" i="9"/>
  <c r="B64" i="9"/>
  <c r="C64" i="9"/>
  <c r="B65" i="9"/>
  <c r="C65" i="9"/>
  <c r="B66" i="9"/>
  <c r="C66" i="9"/>
  <c r="B67" i="9"/>
  <c r="C67" i="9"/>
  <c r="B68" i="9"/>
  <c r="C68" i="9"/>
  <c r="B69" i="9"/>
  <c r="C69" i="9"/>
  <c r="B70" i="9"/>
  <c r="C70" i="9"/>
  <c r="B71" i="9"/>
  <c r="C71" i="9"/>
  <c r="B72" i="9"/>
  <c r="C72" i="9"/>
  <c r="B73" i="9"/>
  <c r="C73" i="9"/>
  <c r="B74" i="9"/>
  <c r="C74" i="9"/>
  <c r="B75" i="9"/>
  <c r="C75" i="9"/>
  <c r="B76" i="9"/>
  <c r="C76" i="9"/>
  <c r="B77" i="9"/>
  <c r="C77" i="9"/>
  <c r="B78" i="9"/>
  <c r="C78" i="9"/>
  <c r="B79" i="9"/>
  <c r="C79" i="9"/>
  <c r="B80" i="9"/>
  <c r="C80" i="9"/>
  <c r="B81" i="9"/>
  <c r="C81" i="9"/>
  <c r="B82" i="9"/>
  <c r="C82" i="9"/>
  <c r="B83" i="9"/>
  <c r="C83" i="9"/>
  <c r="B84" i="9"/>
  <c r="C84" i="9"/>
  <c r="C87" i="9"/>
  <c r="C94" i="9"/>
  <c r="C95" i="9"/>
  <c r="C96" i="9"/>
  <c r="C97" i="9"/>
  <c r="C98" i="9"/>
  <c r="C99" i="9"/>
  <c r="C100" i="9"/>
  <c r="C101" i="9"/>
  <c r="C102" i="9"/>
  <c r="C103" i="9"/>
  <c r="C104" i="9"/>
  <c r="C105" i="9"/>
  <c r="AJ106" i="9"/>
  <c r="D7" i="10"/>
  <c r="D8" i="10"/>
  <c r="D9" i="10"/>
  <c r="D10" i="10"/>
  <c r="D11" i="10"/>
  <c r="D12" i="10"/>
  <c r="C13" i="10"/>
  <c r="AJ13" i="10"/>
  <c r="C14" i="10"/>
  <c r="C15" i="10"/>
  <c r="C16" i="10"/>
  <c r="C17" i="10"/>
  <c r="C18" i="10"/>
  <c r="C19" i="10"/>
  <c r="C20" i="10"/>
  <c r="C21" i="10"/>
  <c r="AK21" i="10"/>
  <c r="C22" i="10"/>
  <c r="C23" i="10"/>
  <c r="C24" i="10"/>
  <c r="C25" i="10"/>
  <c r="C26" i="10"/>
  <c r="C27" i="10"/>
  <c r="C28" i="10"/>
  <c r="C29" i="10"/>
  <c r="C30" i="10"/>
  <c r="C31" i="10"/>
  <c r="C32" i="10"/>
  <c r="AJ33" i="10"/>
  <c r="C33" i="10"/>
  <c r="C34" i="10"/>
  <c r="C35" i="10"/>
  <c r="AK35" i="10"/>
  <c r="C36" i="10"/>
  <c r="AK36" i="10"/>
  <c r="C37" i="10"/>
  <c r="AK37" i="10"/>
  <c r="C38" i="10"/>
  <c r="AK38" i="10"/>
  <c r="C39" i="10"/>
  <c r="C40" i="10"/>
  <c r="E40" i="10"/>
  <c r="F40" i="10"/>
  <c r="G40" i="10"/>
  <c r="H40" i="10"/>
  <c r="I40" i="10"/>
  <c r="J40" i="10"/>
  <c r="K40" i="10"/>
  <c r="L40" i="10"/>
  <c r="M40" i="10"/>
  <c r="N40" i="10"/>
  <c r="O40" i="10"/>
  <c r="P40" i="10"/>
  <c r="Q40" i="10"/>
  <c r="R40" i="10"/>
  <c r="S40" i="10"/>
  <c r="T40" i="10"/>
  <c r="U40" i="10"/>
  <c r="V40" i="10"/>
  <c r="W40" i="10"/>
  <c r="X40" i="10"/>
  <c r="Y40" i="10"/>
  <c r="Z40" i="10"/>
  <c r="AA40" i="10"/>
  <c r="AB40" i="10"/>
  <c r="AC40" i="10"/>
  <c r="AD40" i="10"/>
  <c r="AE40" i="10"/>
  <c r="AF40" i="10"/>
  <c r="AG40" i="10"/>
  <c r="AH40" i="10"/>
  <c r="AI40" i="10"/>
  <c r="B41" i="10"/>
  <c r="C41" i="10"/>
  <c r="B42" i="10"/>
  <c r="C42" i="10"/>
  <c r="B43" i="10"/>
  <c r="C43" i="10"/>
  <c r="B44" i="10"/>
  <c r="C44" i="10"/>
  <c r="B45" i="10"/>
  <c r="C45" i="10"/>
  <c r="B46" i="10"/>
  <c r="C46" i="10"/>
  <c r="B47" i="10"/>
  <c r="C47" i="10"/>
  <c r="B48" i="10"/>
  <c r="C48" i="10"/>
  <c r="B49" i="10"/>
  <c r="C49" i="10"/>
  <c r="B50" i="10"/>
  <c r="C50" i="10"/>
  <c r="B51" i="10"/>
  <c r="C51" i="10"/>
  <c r="B52" i="10"/>
  <c r="C52" i="10"/>
  <c r="B53" i="10"/>
  <c r="C53" i="10"/>
  <c r="B54" i="10"/>
  <c r="C54" i="10"/>
  <c r="B55" i="10"/>
  <c r="C55" i="10"/>
  <c r="B56" i="10"/>
  <c r="C56" i="10"/>
  <c r="B57" i="10"/>
  <c r="C57" i="10"/>
  <c r="D57" i="10"/>
  <c r="B58" i="10"/>
  <c r="C58" i="10"/>
  <c r="B59" i="10"/>
  <c r="C59" i="10"/>
  <c r="B60" i="10"/>
  <c r="C60" i="10"/>
  <c r="B61" i="10"/>
  <c r="C61" i="10"/>
  <c r="B62" i="10"/>
  <c r="C62" i="10"/>
  <c r="B63" i="10"/>
  <c r="C63" i="10"/>
  <c r="B64" i="10"/>
  <c r="C64" i="10"/>
  <c r="B65" i="10"/>
  <c r="C65" i="10"/>
  <c r="B66" i="10"/>
  <c r="C66" i="10"/>
  <c r="B67" i="10"/>
  <c r="C67" i="10"/>
  <c r="B68" i="10"/>
  <c r="C68" i="10"/>
  <c r="B69" i="10"/>
  <c r="C69" i="10"/>
  <c r="B70" i="10"/>
  <c r="C70" i="10"/>
  <c r="B71" i="10"/>
  <c r="C71" i="10"/>
  <c r="B72" i="10"/>
  <c r="C72" i="10"/>
  <c r="B73" i="10"/>
  <c r="C73" i="10"/>
  <c r="B74" i="10"/>
  <c r="C74" i="10"/>
  <c r="B75" i="10"/>
  <c r="C75" i="10"/>
  <c r="B76" i="10"/>
  <c r="C76" i="10"/>
  <c r="B77" i="10"/>
  <c r="C77" i="10"/>
  <c r="B78" i="10"/>
  <c r="C78" i="10"/>
  <c r="B79" i="10"/>
  <c r="C79" i="10"/>
  <c r="B80" i="10"/>
  <c r="C80" i="10"/>
  <c r="B81" i="10"/>
  <c r="C81" i="10"/>
  <c r="B82" i="10"/>
  <c r="C82" i="10"/>
  <c r="B83" i="10"/>
  <c r="C83" i="10"/>
  <c r="B84" i="10"/>
  <c r="C84" i="10"/>
  <c r="AK85" i="10"/>
  <c r="C87" i="10"/>
  <c r="C94" i="10"/>
  <c r="C95" i="10"/>
  <c r="C96" i="10"/>
  <c r="C97" i="10"/>
  <c r="C98" i="10"/>
  <c r="C99" i="10"/>
  <c r="C100" i="10"/>
  <c r="C101" i="10"/>
  <c r="C102" i="10"/>
  <c r="C103" i="10"/>
  <c r="C104" i="10"/>
  <c r="C105" i="10"/>
  <c r="AJ106" i="10"/>
  <c r="D7" i="11"/>
  <c r="D8" i="11"/>
  <c r="D9" i="11"/>
  <c r="D10" i="11"/>
  <c r="D11" i="11"/>
  <c r="D12" i="11"/>
  <c r="C13" i="11"/>
  <c r="AJ13" i="11"/>
  <c r="C14" i="11"/>
  <c r="C15" i="11"/>
  <c r="C16" i="11"/>
  <c r="C17" i="11"/>
  <c r="C18" i="11"/>
  <c r="C19" i="11"/>
  <c r="C20" i="11"/>
  <c r="C21" i="11"/>
  <c r="AK21" i="11"/>
  <c r="C22" i="11"/>
  <c r="C23" i="11"/>
  <c r="C24" i="11"/>
  <c r="C25" i="11"/>
  <c r="C26" i="11"/>
  <c r="C27" i="11"/>
  <c r="C28" i="11"/>
  <c r="C29" i="11"/>
  <c r="C30" i="11"/>
  <c r="C31" i="11"/>
  <c r="C32" i="11"/>
  <c r="AJ33" i="11"/>
  <c r="C33" i="11"/>
  <c r="C34" i="11"/>
  <c r="C35" i="11"/>
  <c r="AK35" i="11"/>
  <c r="C36" i="11"/>
  <c r="AK36" i="11"/>
  <c r="C37" i="11"/>
  <c r="AK37" i="11"/>
  <c r="C38" i="11"/>
  <c r="AK38" i="11"/>
  <c r="C39" i="11"/>
  <c r="C40" i="11"/>
  <c r="F40" i="11"/>
  <c r="G40" i="11"/>
  <c r="H40" i="11"/>
  <c r="I40" i="11"/>
  <c r="J40" i="11"/>
  <c r="K40" i="11"/>
  <c r="L40" i="11"/>
  <c r="M40" i="11"/>
  <c r="N40" i="11"/>
  <c r="O40" i="11"/>
  <c r="P40" i="11"/>
  <c r="Q40" i="11"/>
  <c r="R40" i="11"/>
  <c r="S40" i="11"/>
  <c r="T40" i="11"/>
  <c r="U40" i="11"/>
  <c r="V40" i="11"/>
  <c r="W40" i="11"/>
  <c r="X40" i="11"/>
  <c r="Y40" i="11"/>
  <c r="Z40" i="11"/>
  <c r="AA40" i="11"/>
  <c r="AB40" i="11"/>
  <c r="AC40" i="11"/>
  <c r="AD40" i="11"/>
  <c r="AE40" i="11"/>
  <c r="AF40" i="11"/>
  <c r="AG40" i="11"/>
  <c r="AH40" i="11"/>
  <c r="AI40" i="11"/>
  <c r="B41" i="11"/>
  <c r="C41" i="11"/>
  <c r="B42" i="11"/>
  <c r="C42" i="11"/>
  <c r="B43" i="11"/>
  <c r="C43" i="11"/>
  <c r="B44" i="11"/>
  <c r="C44" i="11"/>
  <c r="B45" i="11"/>
  <c r="C45" i="11"/>
  <c r="B46" i="11"/>
  <c r="C46" i="11"/>
  <c r="B47" i="11"/>
  <c r="C47" i="11"/>
  <c r="B48" i="11"/>
  <c r="C48" i="11"/>
  <c r="B49" i="11"/>
  <c r="C49" i="11"/>
  <c r="B50" i="11"/>
  <c r="C50" i="11"/>
  <c r="B51" i="11"/>
  <c r="C51" i="11"/>
  <c r="B52" i="11"/>
  <c r="C52" i="11"/>
  <c r="B53" i="11"/>
  <c r="C53" i="11"/>
  <c r="B54" i="11"/>
  <c r="C54" i="11"/>
  <c r="B55" i="11"/>
  <c r="C55" i="11"/>
  <c r="B56" i="11"/>
  <c r="C56" i="11"/>
  <c r="B57" i="11"/>
  <c r="C57" i="11"/>
  <c r="D57" i="11"/>
  <c r="B58" i="11"/>
  <c r="C58" i="11"/>
  <c r="B59" i="11"/>
  <c r="C59" i="11"/>
  <c r="B60" i="11"/>
  <c r="C60" i="11"/>
  <c r="B61" i="11"/>
  <c r="C61" i="11"/>
  <c r="B62" i="11"/>
  <c r="C62" i="11"/>
  <c r="B63" i="11"/>
  <c r="C63" i="11"/>
  <c r="B64" i="11"/>
  <c r="C64" i="11"/>
  <c r="B65" i="11"/>
  <c r="C65" i="11"/>
  <c r="B66" i="11"/>
  <c r="C66" i="11"/>
  <c r="B67" i="11"/>
  <c r="C67" i="11"/>
  <c r="B68" i="11"/>
  <c r="C68" i="11"/>
  <c r="B69" i="11"/>
  <c r="C69" i="11"/>
  <c r="B70" i="11"/>
  <c r="C70" i="11"/>
  <c r="B71" i="11"/>
  <c r="C71" i="11"/>
  <c r="B72" i="11"/>
  <c r="C72" i="11"/>
  <c r="B73" i="11"/>
  <c r="C73" i="11"/>
  <c r="B74" i="11"/>
  <c r="C74" i="11"/>
  <c r="B75" i="11"/>
  <c r="C75" i="11"/>
  <c r="B76" i="11"/>
  <c r="C76" i="11"/>
  <c r="B77" i="11"/>
  <c r="C77" i="11"/>
  <c r="B78" i="11"/>
  <c r="C78" i="11"/>
  <c r="B79" i="11"/>
  <c r="C79" i="11"/>
  <c r="B80" i="11"/>
  <c r="C80" i="11"/>
  <c r="B81" i="11"/>
  <c r="C81" i="11"/>
  <c r="B82" i="11"/>
  <c r="C82" i="11"/>
  <c r="B83" i="11"/>
  <c r="C83" i="11"/>
  <c r="B84" i="11"/>
  <c r="C84" i="11"/>
  <c r="C87" i="11"/>
  <c r="C94" i="11"/>
  <c r="C95" i="11"/>
  <c r="C96" i="11"/>
  <c r="C97" i="11"/>
  <c r="C98" i="11"/>
  <c r="C99" i="11"/>
  <c r="C100" i="11"/>
  <c r="C101" i="11"/>
  <c r="C102" i="11"/>
  <c r="C103" i="11"/>
  <c r="C104" i="11"/>
  <c r="C105" i="11"/>
  <c r="AJ106" i="11"/>
  <c r="D7" i="12"/>
  <c r="D8" i="12"/>
  <c r="D9" i="12"/>
  <c r="D10" i="12"/>
  <c r="D11" i="12"/>
  <c r="D12" i="12"/>
  <c r="C13" i="12"/>
  <c r="AJ13" i="12"/>
  <c r="C14" i="12"/>
  <c r="C15" i="12"/>
  <c r="C16" i="12"/>
  <c r="C17" i="12"/>
  <c r="C18" i="12"/>
  <c r="C19" i="12"/>
  <c r="C20" i="12"/>
  <c r="C21" i="12"/>
  <c r="AK21" i="12"/>
  <c r="C22" i="12"/>
  <c r="C23" i="12"/>
  <c r="C24" i="12"/>
  <c r="C25" i="12"/>
  <c r="C26" i="12"/>
  <c r="C27" i="12"/>
  <c r="C28" i="12"/>
  <c r="C29" i="12"/>
  <c r="C30" i="12"/>
  <c r="C31" i="12"/>
  <c r="C32" i="12"/>
  <c r="AJ33" i="12"/>
  <c r="C33" i="12"/>
  <c r="C34" i="12"/>
  <c r="C35" i="12"/>
  <c r="AK35" i="12"/>
  <c r="C36" i="12"/>
  <c r="AK36" i="12"/>
  <c r="C37" i="12"/>
  <c r="AK37" i="12"/>
  <c r="C38" i="12"/>
  <c r="AK38" i="12"/>
  <c r="C39" i="12"/>
  <c r="C40" i="12"/>
  <c r="E40" i="12"/>
  <c r="F40" i="12"/>
  <c r="G40" i="12"/>
  <c r="H40" i="12"/>
  <c r="I40" i="12"/>
  <c r="J40" i="12"/>
  <c r="K40" i="12"/>
  <c r="L40" i="12"/>
  <c r="M40" i="12"/>
  <c r="N40" i="12"/>
  <c r="O40" i="12"/>
  <c r="P40" i="12"/>
  <c r="Q40" i="12"/>
  <c r="R40" i="12"/>
  <c r="S40" i="12"/>
  <c r="T40" i="12"/>
  <c r="U40" i="12"/>
  <c r="V40" i="12"/>
  <c r="W40" i="12"/>
  <c r="X40" i="12"/>
  <c r="Y40" i="12"/>
  <c r="Z40" i="12"/>
  <c r="AA40" i="12"/>
  <c r="AB40" i="12"/>
  <c r="AC40" i="12"/>
  <c r="AD40" i="12"/>
  <c r="AE40" i="12"/>
  <c r="AF40" i="12"/>
  <c r="AG40" i="12"/>
  <c r="AH40" i="12"/>
  <c r="AI40" i="12"/>
  <c r="B41" i="12"/>
  <c r="C41" i="12"/>
  <c r="B42" i="12"/>
  <c r="C42" i="12"/>
  <c r="B43" i="12"/>
  <c r="C43" i="12"/>
  <c r="B44" i="12"/>
  <c r="C44" i="12"/>
  <c r="B45" i="12"/>
  <c r="C45" i="12"/>
  <c r="B46" i="12"/>
  <c r="C46" i="12"/>
  <c r="B47" i="12"/>
  <c r="C47" i="12"/>
  <c r="B48" i="12"/>
  <c r="C48" i="12"/>
  <c r="B49" i="12"/>
  <c r="C49" i="12"/>
  <c r="B50" i="12"/>
  <c r="C50" i="12"/>
  <c r="B51" i="12"/>
  <c r="C51" i="12"/>
  <c r="B52" i="12"/>
  <c r="C52" i="12"/>
  <c r="B53" i="12"/>
  <c r="C53" i="12"/>
  <c r="B54" i="12"/>
  <c r="C54" i="12"/>
  <c r="B55" i="12"/>
  <c r="C55" i="12"/>
  <c r="B56" i="12"/>
  <c r="C56" i="12"/>
  <c r="B57" i="12"/>
  <c r="C57" i="12"/>
  <c r="D57" i="12"/>
  <c r="B58" i="12"/>
  <c r="C58" i="12"/>
  <c r="B59" i="12"/>
  <c r="C59" i="12"/>
  <c r="B60" i="12"/>
  <c r="C60" i="12"/>
  <c r="B61" i="12"/>
  <c r="C61" i="12"/>
  <c r="B62" i="12"/>
  <c r="C62" i="12"/>
  <c r="B63" i="12"/>
  <c r="C63" i="12"/>
  <c r="B64" i="12"/>
  <c r="C64" i="12"/>
  <c r="B65" i="12"/>
  <c r="C65" i="12"/>
  <c r="B66" i="12"/>
  <c r="C66" i="12"/>
  <c r="B67" i="12"/>
  <c r="C67" i="12"/>
  <c r="B68" i="12"/>
  <c r="C68" i="12"/>
  <c r="B69" i="12"/>
  <c r="C69" i="12"/>
  <c r="B70" i="12"/>
  <c r="C70" i="12"/>
  <c r="B71" i="12"/>
  <c r="C71" i="12"/>
  <c r="B72" i="12"/>
  <c r="C72" i="12"/>
  <c r="B73" i="12"/>
  <c r="C73" i="12"/>
  <c r="B74" i="12"/>
  <c r="C74" i="12"/>
  <c r="B75" i="12"/>
  <c r="C75" i="12"/>
  <c r="B76" i="12"/>
  <c r="C76" i="12"/>
  <c r="B77" i="12"/>
  <c r="C77" i="12"/>
  <c r="B78" i="12"/>
  <c r="C78" i="12"/>
  <c r="B79" i="12"/>
  <c r="C79" i="12"/>
  <c r="B80" i="12"/>
  <c r="C80" i="12"/>
  <c r="B81" i="12"/>
  <c r="C81" i="12"/>
  <c r="B82" i="12"/>
  <c r="C82" i="12"/>
  <c r="B83" i="12"/>
  <c r="C83" i="12"/>
  <c r="B84" i="12"/>
  <c r="C84" i="12"/>
  <c r="C87" i="12"/>
  <c r="C94" i="12"/>
  <c r="C95" i="12"/>
  <c r="C96" i="12"/>
  <c r="C97" i="12"/>
  <c r="C98" i="12"/>
  <c r="C99" i="12"/>
  <c r="C100" i="12"/>
  <c r="C101" i="12"/>
  <c r="C102" i="12"/>
  <c r="C103" i="12"/>
  <c r="C104" i="12"/>
  <c r="C105" i="12"/>
  <c r="AJ106" i="12"/>
  <c r="D7" i="13"/>
  <c r="D8" i="13"/>
  <c r="D9" i="13"/>
  <c r="D10" i="13"/>
  <c r="D11" i="13"/>
  <c r="D12" i="13"/>
  <c r="C13" i="13"/>
  <c r="AJ13" i="13"/>
  <c r="C14" i="13"/>
  <c r="C15" i="13"/>
  <c r="C16" i="13"/>
  <c r="C17" i="13"/>
  <c r="C18" i="13"/>
  <c r="C19" i="13"/>
  <c r="C20" i="13"/>
  <c r="C21" i="13"/>
  <c r="AK21" i="13"/>
  <c r="C22" i="13"/>
  <c r="C23" i="13"/>
  <c r="C24" i="13"/>
  <c r="C25" i="13"/>
  <c r="C26" i="13"/>
  <c r="C27" i="13"/>
  <c r="C28" i="13"/>
  <c r="C29" i="13"/>
  <c r="C30" i="13"/>
  <c r="C31" i="13"/>
  <c r="C32" i="13"/>
  <c r="AJ33" i="13"/>
  <c r="C33" i="13"/>
  <c r="C34" i="13"/>
  <c r="C35" i="13"/>
  <c r="AK35" i="13"/>
  <c r="C36" i="13"/>
  <c r="AK36" i="13"/>
  <c r="C37" i="13"/>
  <c r="AK37" i="13"/>
  <c r="C38" i="13"/>
  <c r="AK38" i="13"/>
  <c r="C39" i="13"/>
  <c r="C40" i="13"/>
  <c r="E40" i="13"/>
  <c r="F40" i="13"/>
  <c r="G40" i="13"/>
  <c r="H40" i="13"/>
  <c r="I40" i="13"/>
  <c r="J40" i="13"/>
  <c r="K40" i="13"/>
  <c r="L40" i="13"/>
  <c r="M40" i="13"/>
  <c r="N40" i="13"/>
  <c r="O40" i="13"/>
  <c r="P40" i="13"/>
  <c r="Q40" i="13"/>
  <c r="R40" i="13"/>
  <c r="S40" i="13"/>
  <c r="T40" i="13"/>
  <c r="U40" i="13"/>
  <c r="V40" i="13"/>
  <c r="W40" i="13"/>
  <c r="X40" i="13"/>
  <c r="Y40" i="13"/>
  <c r="Z40" i="13"/>
  <c r="AA40" i="13"/>
  <c r="AB40" i="13"/>
  <c r="AC40" i="13"/>
  <c r="AD40" i="13"/>
  <c r="AE40" i="13"/>
  <c r="AF40" i="13"/>
  <c r="AG40" i="13"/>
  <c r="AH40" i="13"/>
  <c r="AI40" i="13"/>
  <c r="B41" i="13"/>
  <c r="C41" i="13"/>
  <c r="B42" i="13"/>
  <c r="C42" i="13"/>
  <c r="B43" i="13"/>
  <c r="C43" i="13"/>
  <c r="B44" i="13"/>
  <c r="C44" i="13"/>
  <c r="B45" i="13"/>
  <c r="C45" i="13"/>
  <c r="B46" i="13"/>
  <c r="C46" i="13"/>
  <c r="B47" i="13"/>
  <c r="C47" i="13"/>
  <c r="B48" i="13"/>
  <c r="C48" i="13"/>
  <c r="B49" i="13"/>
  <c r="C49" i="13"/>
  <c r="B50" i="13"/>
  <c r="C50" i="13"/>
  <c r="B51" i="13"/>
  <c r="C51" i="13"/>
  <c r="B52" i="13"/>
  <c r="C52" i="13"/>
  <c r="B53" i="13"/>
  <c r="C53" i="13"/>
  <c r="B54" i="13"/>
  <c r="C54" i="13"/>
  <c r="B55" i="13"/>
  <c r="C55" i="13"/>
  <c r="B56" i="13"/>
  <c r="C56" i="13"/>
  <c r="B57" i="13"/>
  <c r="C57" i="13"/>
  <c r="D57" i="13"/>
  <c r="B58" i="13"/>
  <c r="C58" i="13"/>
  <c r="B59" i="13"/>
  <c r="C59" i="13"/>
  <c r="B60" i="13"/>
  <c r="C60" i="13"/>
  <c r="B61" i="13"/>
  <c r="C61" i="13"/>
  <c r="B62" i="13"/>
  <c r="C62" i="13"/>
  <c r="B63" i="13"/>
  <c r="C63" i="13"/>
  <c r="B64" i="13"/>
  <c r="C64" i="13"/>
  <c r="B65" i="13"/>
  <c r="C65" i="13"/>
  <c r="B66" i="13"/>
  <c r="C66" i="13"/>
  <c r="B67" i="13"/>
  <c r="C67" i="13"/>
  <c r="B68" i="13"/>
  <c r="C68" i="13"/>
  <c r="B69" i="13"/>
  <c r="C69" i="13"/>
  <c r="B70" i="13"/>
  <c r="C70" i="13"/>
  <c r="B71" i="13"/>
  <c r="C71" i="13"/>
  <c r="B72" i="13"/>
  <c r="C72" i="13"/>
  <c r="B73" i="13"/>
  <c r="C73" i="13"/>
  <c r="B74" i="13"/>
  <c r="C74" i="13"/>
  <c r="B75" i="13"/>
  <c r="C75" i="13"/>
  <c r="B76" i="13"/>
  <c r="C76" i="13"/>
  <c r="B77" i="13"/>
  <c r="C77" i="13"/>
  <c r="B78" i="13"/>
  <c r="C78" i="13"/>
  <c r="B79" i="13"/>
  <c r="C79" i="13"/>
  <c r="B80" i="13"/>
  <c r="C80" i="13"/>
  <c r="B81" i="13"/>
  <c r="C81" i="13"/>
  <c r="B82" i="13"/>
  <c r="C82" i="13"/>
  <c r="B83" i="13"/>
  <c r="C83" i="13"/>
  <c r="B84" i="13"/>
  <c r="C84" i="13"/>
  <c r="C87" i="13"/>
  <c r="C94" i="13"/>
  <c r="C95" i="13"/>
  <c r="C96" i="13"/>
  <c r="C97" i="13"/>
  <c r="C98" i="13"/>
  <c r="C99" i="13"/>
  <c r="C100" i="13"/>
  <c r="C101" i="13"/>
  <c r="C102" i="13"/>
  <c r="C103" i="13"/>
  <c r="C104" i="13"/>
  <c r="C105" i="13"/>
  <c r="AJ106" i="13"/>
  <c r="A104" i="22"/>
  <c r="B2" i="22"/>
  <c r="F104" i="22"/>
  <c r="A105" i="22"/>
  <c r="C93" i="22"/>
  <c r="C94" i="22"/>
  <c r="A110" i="22"/>
  <c r="F110" i="22"/>
  <c r="A115" i="22"/>
  <c r="A116" i="22"/>
  <c r="A117" i="22"/>
  <c r="A118" i="22"/>
  <c r="A119" i="22"/>
  <c r="F115" i="22"/>
  <c r="F105" i="22"/>
  <c r="F117" i="22"/>
  <c r="E30" i="22"/>
  <c r="F30" i="22"/>
  <c r="F82" i="22"/>
  <c r="E82" i="22"/>
  <c r="L77" i="22"/>
  <c r="K77" i="22"/>
  <c r="AA64" i="22"/>
  <c r="AJ77" i="22"/>
  <c r="AI77" i="22"/>
  <c r="AJ79" i="22"/>
  <c r="AJ84" i="22"/>
  <c r="AI84" i="22" s="1"/>
  <c r="Z64" i="22"/>
  <c r="AI79" i="22"/>
  <c r="B40" i="22"/>
  <c r="E49" i="22"/>
  <c r="E50" i="22"/>
  <c r="A54" i="22"/>
  <c r="D54" i="22"/>
  <c r="G54" i="22"/>
  <c r="J54" i="22"/>
  <c r="M54" i="22"/>
  <c r="P54" i="22"/>
  <c r="S54" i="22"/>
  <c r="V54" i="22"/>
  <c r="Y54" i="22"/>
  <c r="AB54" i="22"/>
  <c r="AE54" i="22"/>
  <c r="AH54" i="22"/>
  <c r="A55" i="22"/>
  <c r="D55" i="22"/>
  <c r="G55" i="22"/>
  <c r="J55" i="22"/>
  <c r="M55" i="22"/>
  <c r="P55" i="22"/>
  <c r="S55" i="22"/>
  <c r="V55" i="22"/>
  <c r="Y55" i="22"/>
  <c r="AB55" i="22"/>
  <c r="AE55" i="22"/>
  <c r="AH55" i="22"/>
  <c r="A56" i="22"/>
  <c r="D56" i="22"/>
  <c r="G56" i="22"/>
  <c r="J56" i="22"/>
  <c r="M56" i="22"/>
  <c r="P56" i="22"/>
  <c r="S56" i="22"/>
  <c r="V56" i="22"/>
  <c r="Y56" i="22"/>
  <c r="AB56" i="22"/>
  <c r="AE56" i="22"/>
  <c r="AH56" i="22"/>
  <c r="A57" i="22"/>
  <c r="D57" i="22"/>
  <c r="G57" i="22"/>
  <c r="J57" i="22"/>
  <c r="M57" i="22"/>
  <c r="P57" i="22"/>
  <c r="S57" i="22"/>
  <c r="V57" i="22"/>
  <c r="Y57" i="22"/>
  <c r="AB57" i="22"/>
  <c r="AE57" i="22"/>
  <c r="AH57" i="22"/>
  <c r="A58" i="22"/>
  <c r="D58" i="22"/>
  <c r="G58" i="22"/>
  <c r="J58" i="22"/>
  <c r="M58" i="22"/>
  <c r="P58" i="22"/>
  <c r="S58" i="22"/>
  <c r="V58" i="22"/>
  <c r="Y58" i="22"/>
  <c r="AB58" i="22"/>
  <c r="AE58" i="22"/>
  <c r="AH58" i="22"/>
  <c r="A59" i="22"/>
  <c r="D59" i="22"/>
  <c r="G59" i="22"/>
  <c r="J59" i="22"/>
  <c r="M59" i="22"/>
  <c r="P59" i="22"/>
  <c r="S59" i="22"/>
  <c r="V59" i="22"/>
  <c r="Y59" i="22"/>
  <c r="AB59" i="22"/>
  <c r="AE59" i="22"/>
  <c r="AH59" i="22"/>
  <c r="A60" i="22"/>
  <c r="D60" i="22"/>
  <c r="G60" i="22"/>
  <c r="J60" i="22"/>
  <c r="M60" i="22"/>
  <c r="P60" i="22"/>
  <c r="S60" i="22"/>
  <c r="V60" i="22"/>
  <c r="Y60" i="22"/>
  <c r="AB60" i="22"/>
  <c r="AE60" i="22"/>
  <c r="AH60" i="22"/>
  <c r="A61" i="22"/>
  <c r="D61" i="22"/>
  <c r="G61" i="22"/>
  <c r="J61" i="22"/>
  <c r="M61" i="22"/>
  <c r="P61" i="22"/>
  <c r="S61" i="22"/>
  <c r="V61" i="22"/>
  <c r="Y61" i="22"/>
  <c r="AB61" i="22"/>
  <c r="AE61" i="22"/>
  <c r="AH61" i="22"/>
  <c r="A62" i="22"/>
  <c r="D62" i="22"/>
  <c r="G62" i="22"/>
  <c r="J62" i="22"/>
  <c r="M62" i="22"/>
  <c r="P62" i="22"/>
  <c r="S62" i="22"/>
  <c r="V62" i="22"/>
  <c r="Y62" i="22"/>
  <c r="AB62" i="22"/>
  <c r="AE62" i="22"/>
  <c r="AH62" i="22"/>
  <c r="A63" i="22"/>
  <c r="D63" i="22"/>
  <c r="G63" i="22"/>
  <c r="J63" i="22"/>
  <c r="M63" i="22"/>
  <c r="P63" i="22"/>
  <c r="S63" i="22"/>
  <c r="V63" i="22"/>
  <c r="Y63" i="22"/>
  <c r="AB63" i="22"/>
  <c r="AE63" i="22"/>
  <c r="AH63" i="22"/>
  <c r="A64" i="22"/>
  <c r="D64" i="22"/>
  <c r="G64" i="22"/>
  <c r="J64" i="22"/>
  <c r="M64" i="22"/>
  <c r="P64" i="22"/>
  <c r="S64" i="22"/>
  <c r="V64" i="22"/>
  <c r="Y64" i="22"/>
  <c r="AB64" i="22"/>
  <c r="AE64" i="22"/>
  <c r="AH64" i="22"/>
  <c r="A65" i="22"/>
  <c r="D65" i="22"/>
  <c r="G65" i="22"/>
  <c r="J65" i="22"/>
  <c r="M65" i="22"/>
  <c r="P65" i="22"/>
  <c r="S65" i="22"/>
  <c r="V65" i="22"/>
  <c r="Y65" i="22"/>
  <c r="AB65" i="22"/>
  <c r="AE65" i="22"/>
  <c r="AH65" i="22"/>
  <c r="A66" i="22"/>
  <c r="D66" i="22"/>
  <c r="G66" i="22"/>
  <c r="J66" i="22"/>
  <c r="M66" i="22"/>
  <c r="P66" i="22"/>
  <c r="S66" i="22"/>
  <c r="V66" i="22"/>
  <c r="Y66" i="22"/>
  <c r="AB66" i="22"/>
  <c r="AE66" i="22"/>
  <c r="AH66" i="22"/>
  <c r="A67" i="22"/>
  <c r="D67" i="22"/>
  <c r="G67" i="22"/>
  <c r="J67" i="22"/>
  <c r="M67" i="22"/>
  <c r="P67" i="22"/>
  <c r="S67" i="22"/>
  <c r="V67" i="22"/>
  <c r="Y67" i="22"/>
  <c r="AB67" i="22"/>
  <c r="AE67" i="22"/>
  <c r="AH67" i="22"/>
  <c r="A68" i="22"/>
  <c r="D68" i="22"/>
  <c r="G68" i="22"/>
  <c r="J68" i="22"/>
  <c r="M68" i="22"/>
  <c r="P68" i="22"/>
  <c r="S68" i="22"/>
  <c r="V68" i="22"/>
  <c r="Y68" i="22"/>
  <c r="AB68" i="22"/>
  <c r="AE68" i="22"/>
  <c r="AH68" i="22"/>
  <c r="A69" i="22"/>
  <c r="D69" i="22"/>
  <c r="G69" i="22"/>
  <c r="J69" i="22"/>
  <c r="M69" i="22"/>
  <c r="P69" i="22"/>
  <c r="S69" i="22"/>
  <c r="V69" i="22"/>
  <c r="Y69" i="22"/>
  <c r="AB69" i="22"/>
  <c r="AE69" i="22"/>
  <c r="AH69" i="22"/>
  <c r="A70" i="22"/>
  <c r="D70" i="22"/>
  <c r="G70" i="22"/>
  <c r="J70" i="22"/>
  <c r="M70" i="22"/>
  <c r="P70" i="22"/>
  <c r="S70" i="22"/>
  <c r="V70" i="22"/>
  <c r="Y70" i="22"/>
  <c r="AB70" i="22"/>
  <c r="AE70" i="22"/>
  <c r="AH70" i="22"/>
  <c r="A71" i="22"/>
  <c r="D71" i="22"/>
  <c r="G71" i="22"/>
  <c r="J71" i="22"/>
  <c r="M71" i="22"/>
  <c r="P71" i="22"/>
  <c r="S71" i="22"/>
  <c r="V71" i="22"/>
  <c r="Y71" i="22"/>
  <c r="AB71" i="22"/>
  <c r="AE71" i="22"/>
  <c r="AH71" i="22"/>
  <c r="A72" i="22"/>
  <c r="D72" i="22"/>
  <c r="G72" i="22"/>
  <c r="J72" i="22"/>
  <c r="M72" i="22"/>
  <c r="P72" i="22"/>
  <c r="S72" i="22"/>
  <c r="V72" i="22"/>
  <c r="Y72" i="22"/>
  <c r="AB72" i="22"/>
  <c r="AE72" i="22"/>
  <c r="AH72" i="22"/>
  <c r="A73" i="22"/>
  <c r="D73" i="22"/>
  <c r="G73" i="22"/>
  <c r="J73" i="22"/>
  <c r="M73" i="22"/>
  <c r="P73" i="22"/>
  <c r="S73" i="22"/>
  <c r="V73" i="22"/>
  <c r="Y73" i="22"/>
  <c r="AB73" i="22"/>
  <c r="AE73" i="22"/>
  <c r="AH73" i="22"/>
  <c r="A74" i="22"/>
  <c r="D74" i="22"/>
  <c r="G74" i="22"/>
  <c r="J74" i="22"/>
  <c r="M74" i="22"/>
  <c r="P74" i="22"/>
  <c r="S74" i="22"/>
  <c r="V74" i="22"/>
  <c r="Y74" i="22"/>
  <c r="AB74" i="22"/>
  <c r="AE74" i="22"/>
  <c r="AH74" i="22"/>
  <c r="A75" i="22"/>
  <c r="D75" i="22"/>
  <c r="G75" i="22"/>
  <c r="J75" i="22"/>
  <c r="M75" i="22"/>
  <c r="P75" i="22"/>
  <c r="S75" i="22"/>
  <c r="V75" i="22"/>
  <c r="Y75" i="22"/>
  <c r="AB75" i="22"/>
  <c r="AE75" i="22"/>
  <c r="AH75" i="22"/>
  <c r="A76" i="22"/>
  <c r="D76" i="22"/>
  <c r="G76" i="22"/>
  <c r="J76" i="22"/>
  <c r="M76" i="22"/>
  <c r="P76" i="22"/>
  <c r="S76" i="22"/>
  <c r="V76" i="22"/>
  <c r="Y76" i="22"/>
  <c r="AB76" i="22"/>
  <c r="AE76" i="22"/>
  <c r="AH76" i="22"/>
  <c r="A77" i="22"/>
  <c r="D77" i="22"/>
  <c r="G77" i="22"/>
  <c r="J77" i="22"/>
  <c r="M77" i="22"/>
  <c r="P77" i="22"/>
  <c r="S77" i="22"/>
  <c r="V77" i="22"/>
  <c r="Y77" i="22"/>
  <c r="AB77" i="22"/>
  <c r="AE77" i="22"/>
  <c r="AH77" i="22"/>
  <c r="A78" i="22"/>
  <c r="D78" i="22"/>
  <c r="G78" i="22"/>
  <c r="J78" i="22"/>
  <c r="M78" i="22"/>
  <c r="P78" i="22"/>
  <c r="S78" i="22"/>
  <c r="V78" i="22"/>
  <c r="Y78" i="22"/>
  <c r="AB78" i="22"/>
  <c r="AE78" i="22"/>
  <c r="AH78" i="22"/>
  <c r="A79" i="22"/>
  <c r="D79" i="22"/>
  <c r="G79" i="22"/>
  <c r="J79" i="22"/>
  <c r="M79" i="22"/>
  <c r="P79" i="22"/>
  <c r="S79" i="22"/>
  <c r="V79" i="22"/>
  <c r="Y79" i="22"/>
  <c r="AB79" i="22"/>
  <c r="AE79" i="22"/>
  <c r="AH79" i="22"/>
  <c r="A80" i="22"/>
  <c r="D80" i="22"/>
  <c r="G80" i="22"/>
  <c r="J80" i="22"/>
  <c r="M80" i="22"/>
  <c r="P80" i="22"/>
  <c r="S80" i="22"/>
  <c r="V80" i="22"/>
  <c r="Y80" i="22"/>
  <c r="AB80" i="22"/>
  <c r="AE80" i="22"/>
  <c r="AH80" i="22"/>
  <c r="A81" i="22"/>
  <c r="D81" i="22"/>
  <c r="G81" i="22"/>
  <c r="J81" i="22"/>
  <c r="M81" i="22"/>
  <c r="P81" i="22"/>
  <c r="S81" i="22"/>
  <c r="V81" i="22"/>
  <c r="Y81" i="22"/>
  <c r="AB81" i="22"/>
  <c r="AE81" i="22"/>
  <c r="AH81" i="22"/>
  <c r="A82" i="22"/>
  <c r="G82" i="22"/>
  <c r="J82" i="22"/>
  <c r="M82" i="22"/>
  <c r="P82" i="22"/>
  <c r="S82" i="22"/>
  <c r="V82" i="22"/>
  <c r="Y82" i="22"/>
  <c r="AB82" i="22"/>
  <c r="AE82" i="22"/>
  <c r="AH82" i="22"/>
  <c r="A83" i="22"/>
  <c r="G83" i="22"/>
  <c r="J83" i="22"/>
  <c r="M83" i="22"/>
  <c r="P83" i="22"/>
  <c r="S83" i="22"/>
  <c r="V83" i="22"/>
  <c r="Y83" i="22"/>
  <c r="AB83" i="22"/>
  <c r="AE83" i="22"/>
  <c r="AH83" i="22"/>
  <c r="A84" i="22"/>
  <c r="G84" i="22"/>
  <c r="M84" i="22"/>
  <c r="S84" i="22"/>
  <c r="V84" i="22"/>
  <c r="AB84" i="22"/>
  <c r="AH84" i="22"/>
  <c r="C95" i="22"/>
  <c r="D104" i="22"/>
  <c r="D105" i="22"/>
  <c r="D110" i="22"/>
  <c r="D115" i="22"/>
  <c r="D116" i="22"/>
  <c r="D117" i="22"/>
  <c r="D118" i="22"/>
  <c r="F118" i="22"/>
  <c r="D119" i="22"/>
  <c r="C130" i="22"/>
  <c r="D130" i="22"/>
  <c r="C131" i="22"/>
  <c r="D131" i="22"/>
  <c r="B5" i="1"/>
  <c r="B1" i="14" s="1"/>
  <c r="B6" i="1"/>
  <c r="N1" i="14" s="1"/>
  <c r="B2" i="14"/>
  <c r="S2" i="14"/>
  <c r="B3" i="1"/>
  <c r="F2" i="14" s="1"/>
  <c r="A4" i="14"/>
  <c r="B4" i="14"/>
  <c r="C4" i="14"/>
  <c r="D4" i="14"/>
  <c r="E4" i="14"/>
  <c r="F4" i="14"/>
  <c r="G4" i="14"/>
  <c r="H4" i="14"/>
  <c r="I4" i="14"/>
  <c r="J4" i="14"/>
  <c r="K4" i="14"/>
  <c r="L4" i="14"/>
  <c r="M4" i="14"/>
  <c r="N4" i="14"/>
  <c r="O4" i="14"/>
  <c r="P4" i="14"/>
  <c r="Q4" i="14"/>
  <c r="R4" i="14"/>
  <c r="S4" i="14"/>
  <c r="U4" i="14"/>
  <c r="V4" i="14"/>
  <c r="W4" i="14"/>
  <c r="K5" i="14"/>
  <c r="L5" i="14"/>
  <c r="M5" i="14"/>
  <c r="A177" i="1"/>
  <c r="B6" i="14" s="1"/>
  <c r="N7" i="14"/>
  <c r="N8" i="14"/>
  <c r="N9" i="14"/>
  <c r="N10" i="14"/>
  <c r="N11" i="14"/>
  <c r="N12" i="14"/>
  <c r="N13" i="14"/>
  <c r="N14" i="14"/>
  <c r="N15" i="14"/>
  <c r="N16" i="14"/>
  <c r="N17" i="14"/>
  <c r="N18" i="14"/>
  <c r="C7" i="14"/>
  <c r="D7" i="14"/>
  <c r="E7" i="14"/>
  <c r="E8" i="14"/>
  <c r="E9" i="14"/>
  <c r="E10" i="14"/>
  <c r="E11" i="14"/>
  <c r="E12" i="14"/>
  <c r="E13" i="14"/>
  <c r="E14" i="14"/>
  <c r="E15" i="14"/>
  <c r="E16" i="14"/>
  <c r="E17" i="14"/>
  <c r="E18" i="14"/>
  <c r="E19" i="14"/>
  <c r="F7" i="14"/>
  <c r="G7" i="14"/>
  <c r="H7" i="14"/>
  <c r="I7" i="14"/>
  <c r="I8" i="14"/>
  <c r="I9" i="14"/>
  <c r="I10" i="14"/>
  <c r="I11" i="14"/>
  <c r="I12" i="14"/>
  <c r="I13" i="14"/>
  <c r="I14" i="14"/>
  <c r="I15" i="14"/>
  <c r="I16" i="14"/>
  <c r="I17" i="14"/>
  <c r="I18" i="14"/>
  <c r="I19" i="14"/>
  <c r="J7" i="14"/>
  <c r="K7" i="14"/>
  <c r="M7" i="14"/>
  <c r="O7" i="14"/>
  <c r="P7" i="14"/>
  <c r="P8" i="14"/>
  <c r="P9" i="14"/>
  <c r="P10" i="14"/>
  <c r="P11" i="14"/>
  <c r="P12" i="14"/>
  <c r="P13" i="14"/>
  <c r="P14" i="14"/>
  <c r="P15" i="14"/>
  <c r="P16" i="14"/>
  <c r="P17" i="14"/>
  <c r="P18" i="14"/>
  <c r="P19" i="14"/>
  <c r="Q7" i="14"/>
  <c r="R7" i="14"/>
  <c r="B8" i="14"/>
  <c r="C8" i="14"/>
  <c r="D8" i="14"/>
  <c r="D9" i="14"/>
  <c r="D10" i="14"/>
  <c r="D11" i="14"/>
  <c r="D12" i="14"/>
  <c r="D13" i="14"/>
  <c r="D14" i="14"/>
  <c r="D15" i="14"/>
  <c r="D16" i="14"/>
  <c r="D17" i="14"/>
  <c r="D18" i="14"/>
  <c r="D19" i="14"/>
  <c r="F8" i="14"/>
  <c r="F9" i="14"/>
  <c r="F10" i="14"/>
  <c r="F11" i="14"/>
  <c r="F12" i="14"/>
  <c r="F13" i="14"/>
  <c r="F14" i="14"/>
  <c r="F15" i="14"/>
  <c r="F16" i="14"/>
  <c r="F17" i="14"/>
  <c r="F18" i="14"/>
  <c r="F19" i="14"/>
  <c r="G8" i="14"/>
  <c r="H8" i="14"/>
  <c r="H9" i="14"/>
  <c r="H10" i="14"/>
  <c r="H11" i="14"/>
  <c r="H12" i="14"/>
  <c r="H13" i="14"/>
  <c r="H14" i="14"/>
  <c r="H15" i="14"/>
  <c r="H16" i="14"/>
  <c r="H17" i="14"/>
  <c r="H18" i="14"/>
  <c r="H19" i="14"/>
  <c r="J8" i="14"/>
  <c r="J9" i="14"/>
  <c r="J10" i="14"/>
  <c r="J11" i="14"/>
  <c r="J12" i="14"/>
  <c r="J13" i="14"/>
  <c r="J14" i="14"/>
  <c r="J15" i="14"/>
  <c r="J16" i="14"/>
  <c r="J17" i="14"/>
  <c r="J18" i="14"/>
  <c r="J19" i="14"/>
  <c r="K8" i="14"/>
  <c r="L8" i="14"/>
  <c r="L9" i="14"/>
  <c r="L10" i="14"/>
  <c r="L11" i="14"/>
  <c r="L12" i="14"/>
  <c r="L13" i="14"/>
  <c r="L14" i="14"/>
  <c r="L15" i="14"/>
  <c r="L16" i="14"/>
  <c r="L17" i="14"/>
  <c r="L18" i="14"/>
  <c r="M8" i="14"/>
  <c r="O8" i="14"/>
  <c r="Q8" i="14"/>
  <c r="R8" i="14"/>
  <c r="R9" i="14"/>
  <c r="R10" i="14"/>
  <c r="R11" i="14"/>
  <c r="R12" i="14"/>
  <c r="R13" i="14"/>
  <c r="R14" i="14"/>
  <c r="R15" i="14"/>
  <c r="R16" i="14"/>
  <c r="R17" i="14"/>
  <c r="R18" i="14"/>
  <c r="R19" i="14"/>
  <c r="C9" i="14"/>
  <c r="G9" i="14"/>
  <c r="K9" i="14"/>
  <c r="M9" i="14"/>
  <c r="O9" i="14"/>
  <c r="O10" i="14"/>
  <c r="O11" i="14"/>
  <c r="O12" i="14"/>
  <c r="O13" i="14"/>
  <c r="O14" i="14"/>
  <c r="O15" i="14"/>
  <c r="O16" i="14"/>
  <c r="O17" i="14"/>
  <c r="O18" i="14"/>
  <c r="O19" i="14"/>
  <c r="Q9" i="14"/>
  <c r="S9" i="14"/>
  <c r="B10" i="14"/>
  <c r="C10" i="14"/>
  <c r="G10" i="14"/>
  <c r="K10" i="14"/>
  <c r="M10" i="14"/>
  <c r="Q10" i="14"/>
  <c r="S10" i="14"/>
  <c r="B11" i="14"/>
  <c r="C11" i="14"/>
  <c r="G11" i="14"/>
  <c r="K11" i="14"/>
  <c r="M11" i="14"/>
  <c r="Q11" i="14"/>
  <c r="B12" i="14"/>
  <c r="C12" i="14"/>
  <c r="G12" i="14"/>
  <c r="K12" i="14"/>
  <c r="M12" i="14"/>
  <c r="Q12" i="14"/>
  <c r="S12" i="14"/>
  <c r="B13" i="14"/>
  <c r="C13" i="14"/>
  <c r="G13" i="14"/>
  <c r="K13" i="14"/>
  <c r="M13" i="14"/>
  <c r="Q13" i="14"/>
  <c r="B14" i="14"/>
  <c r="C14" i="14"/>
  <c r="G14" i="14"/>
  <c r="K14" i="14"/>
  <c r="M14" i="14"/>
  <c r="Q14" i="14"/>
  <c r="B15" i="14"/>
  <c r="C15" i="14"/>
  <c r="G15" i="14"/>
  <c r="K15" i="14"/>
  <c r="M15" i="14"/>
  <c r="Q15" i="14"/>
  <c r="S15" i="14"/>
  <c r="B16" i="14"/>
  <c r="C16" i="14"/>
  <c r="G16" i="14"/>
  <c r="K16" i="14"/>
  <c r="M16" i="14"/>
  <c r="Q16" i="14"/>
  <c r="B17" i="14"/>
  <c r="C17" i="14"/>
  <c r="G17" i="14"/>
  <c r="K17" i="14"/>
  <c r="M17" i="14"/>
  <c r="Q17" i="14"/>
  <c r="B18" i="14"/>
  <c r="C18" i="14"/>
  <c r="G18" i="14"/>
  <c r="K18" i="14"/>
  <c r="M18" i="14"/>
  <c r="Q18" i="14"/>
  <c r="G19" i="14"/>
  <c r="M19" i="14"/>
  <c r="Q19" i="14"/>
  <c r="K38" i="1"/>
  <c r="K45" i="1" s="1"/>
  <c r="J49" i="1"/>
  <c r="E50" i="1"/>
  <c r="F50" i="1"/>
  <c r="G50" i="1"/>
  <c r="H50" i="1"/>
  <c r="J50" i="1"/>
  <c r="D51" i="1"/>
  <c r="E51" i="1"/>
  <c r="F51" i="1"/>
  <c r="G51" i="1"/>
  <c r="H51" i="1"/>
  <c r="J51" i="1"/>
  <c r="D52" i="1"/>
  <c r="E52" i="1"/>
  <c r="F52" i="1"/>
  <c r="G52" i="1"/>
  <c r="H52" i="1"/>
  <c r="J52" i="1"/>
  <c r="D53" i="1"/>
  <c r="E53" i="1"/>
  <c r="F53" i="1"/>
  <c r="G53" i="1"/>
  <c r="H53" i="1"/>
  <c r="J53" i="1"/>
  <c r="D54" i="1"/>
  <c r="E54" i="1"/>
  <c r="F54" i="1"/>
  <c r="G54" i="1"/>
  <c r="H54" i="1"/>
  <c r="J54" i="1"/>
  <c r="D55" i="1"/>
  <c r="E55" i="1"/>
  <c r="F55" i="1"/>
  <c r="G55" i="1"/>
  <c r="H55" i="1"/>
  <c r="J55" i="1"/>
  <c r="D56" i="1"/>
  <c r="E56" i="1"/>
  <c r="F56" i="1"/>
  <c r="G56" i="1"/>
  <c r="H56" i="1"/>
  <c r="J56" i="1"/>
  <c r="D57" i="1"/>
  <c r="E57" i="1"/>
  <c r="F57" i="1"/>
  <c r="G57" i="1"/>
  <c r="H57" i="1"/>
  <c r="J57" i="1"/>
  <c r="D58" i="1"/>
  <c r="E58" i="1"/>
  <c r="F58" i="1"/>
  <c r="G58" i="1"/>
  <c r="H58" i="1"/>
  <c r="J58" i="1"/>
  <c r="A62" i="1"/>
  <c r="B62" i="1"/>
  <c r="I62" i="1"/>
  <c r="B63" i="1"/>
  <c r="A64" i="1"/>
  <c r="A65" i="1"/>
  <c r="B65" i="1"/>
  <c r="A66" i="1"/>
  <c r="A67" i="1"/>
  <c r="B73" i="1"/>
  <c r="A74" i="1"/>
  <c r="B74" i="1"/>
  <c r="A75" i="1"/>
  <c r="B75" i="1"/>
  <c r="C75" i="1"/>
  <c r="D75" i="1"/>
  <c r="E75" i="1"/>
  <c r="F75" i="1"/>
  <c r="G75" i="1"/>
  <c r="H75" i="1"/>
  <c r="A76" i="1"/>
  <c r="B76" i="1"/>
  <c r="C76" i="1"/>
  <c r="D76" i="1"/>
  <c r="E76" i="1"/>
  <c r="F76" i="1"/>
  <c r="G76" i="1"/>
  <c r="H76" i="1"/>
  <c r="A77" i="1"/>
  <c r="B77" i="1"/>
  <c r="C77" i="1"/>
  <c r="D77" i="1"/>
  <c r="E77" i="1"/>
  <c r="F77" i="1"/>
  <c r="G77" i="1"/>
  <c r="H77" i="1"/>
  <c r="A78" i="1"/>
  <c r="B78" i="1"/>
  <c r="C78" i="1"/>
  <c r="D78" i="1"/>
  <c r="E78" i="1"/>
  <c r="F78" i="1"/>
  <c r="G78" i="1"/>
  <c r="H78" i="1"/>
  <c r="A79" i="1"/>
  <c r="B79" i="1"/>
  <c r="C79" i="1"/>
  <c r="E79" i="1"/>
  <c r="F79" i="1"/>
  <c r="G79" i="1"/>
  <c r="H79" i="1"/>
  <c r="A80" i="1"/>
  <c r="B80" i="1"/>
  <c r="C80" i="1"/>
  <c r="D80" i="1"/>
  <c r="E80" i="1"/>
  <c r="F80" i="1"/>
  <c r="G80" i="1"/>
  <c r="H80" i="1"/>
  <c r="A81" i="1"/>
  <c r="B81" i="1"/>
  <c r="C81" i="1"/>
  <c r="D81" i="1"/>
  <c r="E81" i="1"/>
  <c r="F81" i="1"/>
  <c r="G81" i="1"/>
  <c r="H81" i="1"/>
  <c r="A82" i="1"/>
  <c r="B82" i="1"/>
  <c r="C82" i="1"/>
  <c r="D82" i="1"/>
  <c r="E82" i="1"/>
  <c r="F82" i="1"/>
  <c r="G82" i="1"/>
  <c r="H82" i="1"/>
  <c r="B88" i="1"/>
  <c r="F98" i="1"/>
  <c r="F99" i="1"/>
  <c r="F100" i="1"/>
  <c r="F101" i="1"/>
  <c r="B89" i="1"/>
  <c r="B90" i="1"/>
  <c r="B91" i="1"/>
  <c r="B92" i="1"/>
  <c r="B93" i="1"/>
  <c r="B94" i="1"/>
  <c r="B95" i="1"/>
  <c r="B96" i="1"/>
  <c r="B97" i="1"/>
  <c r="B98" i="1"/>
  <c r="H98" i="1"/>
  <c r="I98" i="1" s="1"/>
  <c r="B99" i="1"/>
  <c r="H99" i="1"/>
  <c r="B100" i="1"/>
  <c r="H100" i="1"/>
  <c r="I100" i="1" s="1"/>
  <c r="B101" i="1"/>
  <c r="H101" i="1"/>
  <c r="A174" i="1"/>
  <c r="C174" i="1" s="1"/>
  <c r="E174" i="1"/>
  <c r="H174" i="1"/>
  <c r="E175" i="1"/>
  <c r="H175" i="1"/>
  <c r="E176" i="1"/>
  <c r="H176" i="1"/>
  <c r="E177" i="1"/>
  <c r="H177" i="1"/>
  <c r="E178" i="1"/>
  <c r="H178" i="1"/>
  <c r="E179" i="1"/>
  <c r="H179" i="1"/>
  <c r="E180" i="1"/>
  <c r="H180" i="1"/>
  <c r="E181" i="1"/>
  <c r="H181" i="1"/>
  <c r="E182" i="1"/>
  <c r="H182" i="1"/>
  <c r="E183" i="1"/>
  <c r="H183" i="1"/>
  <c r="E184" i="1"/>
  <c r="H184" i="1"/>
  <c r="E185" i="1"/>
  <c r="H185" i="1"/>
  <c r="C96" i="22"/>
  <c r="C97" i="22"/>
  <c r="B32" i="3"/>
  <c r="B32" i="6"/>
  <c r="B32" i="11"/>
  <c r="W38" i="34"/>
  <c r="U38" i="34"/>
  <c r="V38" i="34"/>
  <c r="T38" i="34"/>
  <c r="R38" i="34"/>
  <c r="V37" i="34"/>
  <c r="T37" i="34"/>
  <c r="V36" i="34"/>
  <c r="T36" i="34"/>
  <c r="V35" i="34"/>
  <c r="T35" i="34"/>
  <c r="V34" i="34"/>
  <c r="R34" i="34"/>
  <c r="T34" i="34"/>
  <c r="V21" i="34"/>
  <c r="R21" i="34"/>
  <c r="T21" i="34"/>
  <c r="U34" i="34"/>
  <c r="W21" i="34"/>
  <c r="U21" i="34"/>
  <c r="P12" i="34"/>
  <c r="L12" i="34"/>
  <c r="H12" i="34"/>
  <c r="Q11" i="34"/>
  <c r="M11" i="34"/>
  <c r="I11" i="34"/>
  <c r="R76" i="34"/>
  <c r="R74" i="34"/>
  <c r="R72" i="34"/>
  <c r="R70" i="34"/>
  <c r="P10" i="34"/>
  <c r="L10" i="34"/>
  <c r="H10" i="34"/>
  <c r="Q9" i="34"/>
  <c r="M9" i="34"/>
  <c r="I9" i="34"/>
  <c r="R56" i="34"/>
  <c r="R54" i="34"/>
  <c r="R52" i="34"/>
  <c r="R50" i="34"/>
  <c r="R48" i="34"/>
  <c r="R46" i="34"/>
  <c r="R44" i="34"/>
  <c r="R42" i="34"/>
  <c r="N12" i="34"/>
  <c r="J12" i="34"/>
  <c r="R83" i="34"/>
  <c r="R81" i="34"/>
  <c r="R79" i="34"/>
  <c r="F12" i="34"/>
  <c r="R77" i="34"/>
  <c r="O11" i="34"/>
  <c r="K11" i="34"/>
  <c r="G11" i="34"/>
  <c r="N10" i="34"/>
  <c r="J10" i="34"/>
  <c r="R67" i="34"/>
  <c r="R65" i="34"/>
  <c r="R63" i="34"/>
  <c r="R61" i="34"/>
  <c r="R59" i="34"/>
  <c r="F10" i="34"/>
  <c r="R57" i="34"/>
  <c r="O9" i="34"/>
  <c r="K9" i="34"/>
  <c r="G9" i="34"/>
  <c r="Q8" i="34"/>
  <c r="O8" i="34"/>
  <c r="M8" i="34"/>
  <c r="K8" i="34"/>
  <c r="I8" i="34"/>
  <c r="G8" i="34"/>
  <c r="R31" i="34"/>
  <c r="R29" i="34"/>
  <c r="R27" i="34"/>
  <c r="R25" i="34"/>
  <c r="R23" i="34"/>
  <c r="R29" i="17"/>
  <c r="T15" i="17" s="1"/>
  <c r="AJ13" i="6"/>
  <c r="L40" i="5"/>
  <c r="E74" i="1"/>
  <c r="F74" i="1"/>
  <c r="I74" i="1"/>
  <c r="E2" i="7"/>
  <c r="E2" i="6"/>
  <c r="E2" i="5"/>
  <c r="C98" i="22"/>
  <c r="C99" i="22"/>
  <c r="V127" i="34"/>
  <c r="T127" i="34"/>
  <c r="R127" i="34"/>
  <c r="V125" i="34"/>
  <c r="T125" i="34"/>
  <c r="R125" i="34"/>
  <c r="V123" i="34"/>
  <c r="T123" i="34"/>
  <c r="R123" i="34"/>
  <c r="V121" i="34"/>
  <c r="T121" i="34"/>
  <c r="R121" i="34"/>
  <c r="V119" i="34"/>
  <c r="T119" i="34"/>
  <c r="R119" i="34"/>
  <c r="V117" i="34"/>
  <c r="T117" i="34"/>
  <c r="R117" i="34"/>
  <c r="R37" i="34"/>
  <c r="R36" i="34"/>
  <c r="R35" i="34"/>
  <c r="W34" i="34"/>
  <c r="C3" i="22"/>
  <c r="B3" i="22"/>
  <c r="W127" i="34"/>
  <c r="U127" i="34"/>
  <c r="W125" i="34"/>
  <c r="U125" i="34"/>
  <c r="W123" i="34"/>
  <c r="U123" i="34"/>
  <c r="W121" i="34"/>
  <c r="U121" i="34"/>
  <c r="W119" i="34"/>
  <c r="U119" i="34"/>
  <c r="W117" i="34"/>
  <c r="U117" i="34"/>
  <c r="U37" i="34"/>
  <c r="U36" i="34"/>
  <c r="U35" i="34"/>
  <c r="Q12" i="34"/>
  <c r="W12" i="34"/>
  <c r="M12" i="34"/>
  <c r="V12" i="34"/>
  <c r="R78" i="34"/>
  <c r="R84" i="34"/>
  <c r="R82" i="34"/>
  <c r="I12" i="34"/>
  <c r="U12" i="34"/>
  <c r="R80" i="34"/>
  <c r="P11" i="34"/>
  <c r="W11" i="34"/>
  <c r="N11" i="34"/>
  <c r="V11" i="34"/>
  <c r="Q10" i="34"/>
  <c r="Q13" i="34"/>
  <c r="R60" i="34"/>
  <c r="R58" i="34"/>
  <c r="R62" i="34"/>
  <c r="G10" i="34"/>
  <c r="L9" i="34"/>
  <c r="J9" i="34"/>
  <c r="U9" i="34"/>
  <c r="R43" i="34"/>
  <c r="H9" i="34"/>
  <c r="R41" i="34"/>
  <c r="R9" i="34" s="1"/>
  <c r="R55" i="34"/>
  <c r="R53" i="34"/>
  <c r="R51" i="34"/>
  <c r="R49" i="34"/>
  <c r="R47" i="34"/>
  <c r="R45" i="34"/>
  <c r="P8" i="34"/>
  <c r="G12" i="34"/>
  <c r="T12" i="34"/>
  <c r="J11" i="34"/>
  <c r="U11" i="34"/>
  <c r="R75" i="34"/>
  <c r="R73" i="34"/>
  <c r="R71" i="34"/>
  <c r="F11" i="34"/>
  <c r="T11" i="34"/>
  <c r="R69" i="34"/>
  <c r="R11" i="34"/>
  <c r="O10" i="34"/>
  <c r="M10" i="34"/>
  <c r="V10" i="34"/>
  <c r="K10" i="34"/>
  <c r="K13" i="34"/>
  <c r="I10" i="34"/>
  <c r="R68" i="34"/>
  <c r="R66" i="34"/>
  <c r="R64" i="34"/>
  <c r="P9" i="34"/>
  <c r="W9" i="34"/>
  <c r="N9" i="34"/>
  <c r="N8" i="34"/>
  <c r="J8" i="34"/>
  <c r="R30" i="34"/>
  <c r="R28" i="34"/>
  <c r="R26" i="34"/>
  <c r="R24" i="34"/>
  <c r="V8" i="34"/>
  <c r="N13" i="34"/>
  <c r="U10" i="34"/>
  <c r="I13" i="34"/>
  <c r="P13" i="34"/>
  <c r="W8" i="34"/>
  <c r="G13" i="34"/>
  <c r="T10" i="34"/>
  <c r="R10" i="34"/>
  <c r="A108" i="22"/>
  <c r="U8" i="34"/>
  <c r="J13" i="34"/>
  <c r="O13" i="34"/>
  <c r="W10" i="34"/>
  <c r="V9" i="34"/>
  <c r="L13" i="34"/>
  <c r="R12" i="34"/>
  <c r="C55" i="22"/>
  <c r="B55" i="22"/>
  <c r="M13" i="34"/>
  <c r="A106" i="22"/>
  <c r="A113" i="22"/>
  <c r="F108" i="22"/>
  <c r="A109" i="22"/>
  <c r="A107" i="22"/>
  <c r="D108" i="22"/>
  <c r="F107" i="22"/>
  <c r="D107" i="22"/>
  <c r="H21" i="22"/>
  <c r="I24" i="22"/>
  <c r="O2" i="22"/>
  <c r="F106" i="22"/>
  <c r="H22" i="22"/>
  <c r="H25" i="22"/>
  <c r="D106" i="22"/>
  <c r="A112" i="22"/>
  <c r="A111" i="22"/>
  <c r="A114" i="22"/>
  <c r="K15" i="22"/>
  <c r="H24" i="22"/>
  <c r="N2" i="22"/>
  <c r="L15" i="22"/>
  <c r="I21" i="22"/>
  <c r="I22" i="22"/>
  <c r="F109" i="22"/>
  <c r="I25" i="22"/>
  <c r="D109" i="22"/>
  <c r="D113" i="22"/>
  <c r="F113" i="22"/>
  <c r="I77" i="22"/>
  <c r="H77" i="22"/>
  <c r="I74" i="22"/>
  <c r="H74" i="22"/>
  <c r="L67" i="22"/>
  <c r="K67" i="22"/>
  <c r="I76" i="22"/>
  <c r="H76" i="22"/>
  <c r="F112" i="22"/>
  <c r="D112" i="22"/>
  <c r="D114" i="22"/>
  <c r="F114" i="22"/>
  <c r="I73" i="22"/>
  <c r="H73" i="22"/>
  <c r="O54" i="22"/>
  <c r="N54" i="22"/>
  <c r="D111" i="22"/>
  <c r="N3" i="22"/>
  <c r="B4" i="22"/>
  <c r="Z4" i="22"/>
  <c r="N5" i="22"/>
  <c r="B6" i="22"/>
  <c r="Z6" i="22"/>
  <c r="N7" i="22"/>
  <c r="B8" i="22"/>
  <c r="Z8" i="22"/>
  <c r="N9" i="22"/>
  <c r="B10" i="22"/>
  <c r="Z10" i="22"/>
  <c r="N11" i="22"/>
  <c r="B12" i="22"/>
  <c r="W13" i="22"/>
  <c r="K14" i="22"/>
  <c r="AI14" i="22"/>
  <c r="AC15" i="22"/>
  <c r="Q16" i="22"/>
  <c r="E17" i="22"/>
  <c r="AC17" i="22"/>
  <c r="Q18" i="22"/>
  <c r="E19" i="22"/>
  <c r="AC19" i="22"/>
  <c r="Q20" i="22"/>
  <c r="E21" i="22"/>
  <c r="AC22" i="22"/>
  <c r="Q23" i="22"/>
  <c r="E24" i="22"/>
  <c r="AF25" i="22"/>
  <c r="W27" i="22"/>
  <c r="H2" i="22"/>
  <c r="AC12" i="22"/>
  <c r="O13" i="22"/>
  <c r="T21" i="22"/>
  <c r="AF21" i="22"/>
  <c r="N24" i="22"/>
  <c r="AF24" i="22"/>
  <c r="W26" i="22"/>
  <c r="AF28" i="22"/>
  <c r="AF30" i="22"/>
  <c r="T32" i="22"/>
  <c r="AC28" i="22"/>
  <c r="K30" i="22"/>
  <c r="I2" i="22"/>
  <c r="K3" i="22"/>
  <c r="W3" i="22"/>
  <c r="AI3" i="22"/>
  <c r="K4" i="22"/>
  <c r="W4" i="22"/>
  <c r="AI4" i="22"/>
  <c r="K5" i="22"/>
  <c r="W5" i="22"/>
  <c r="AI5" i="22"/>
  <c r="K6" i="22"/>
  <c r="W6" i="22"/>
  <c r="AI6" i="22"/>
  <c r="K7" i="22"/>
  <c r="W7" i="22"/>
  <c r="AI7" i="22"/>
  <c r="K8" i="22"/>
  <c r="W8" i="22"/>
  <c r="AI8" i="22"/>
  <c r="K9" i="22"/>
  <c r="W9" i="22"/>
  <c r="AI9" i="22"/>
  <c r="K10" i="22"/>
  <c r="W10" i="22"/>
  <c r="AI10" i="22"/>
  <c r="K11" i="22"/>
  <c r="W11" i="22"/>
  <c r="AI11" i="22"/>
  <c r="K12" i="22"/>
  <c r="AD12" i="22"/>
  <c r="T13" i="22"/>
  <c r="AF13" i="22"/>
  <c r="H14" i="22"/>
  <c r="T14" i="22"/>
  <c r="AF14" i="22"/>
  <c r="H15" i="22"/>
  <c r="T15" i="22"/>
  <c r="AF15" i="22"/>
  <c r="H16" i="22"/>
  <c r="T16" i="22"/>
  <c r="T22" i="22"/>
  <c r="U22" i="22"/>
  <c r="H23" i="22"/>
  <c r="W25" i="22"/>
  <c r="X26" i="22"/>
  <c r="N27" i="22"/>
  <c r="AF27" i="22"/>
  <c r="Z28" i="22"/>
  <c r="L30" i="22"/>
  <c r="T31" i="22"/>
  <c r="K2" i="22"/>
  <c r="O3" i="22"/>
  <c r="C4" i="22"/>
  <c r="AA4" i="22"/>
  <c r="O5" i="22"/>
  <c r="C6" i="22"/>
  <c r="AA6" i="22"/>
  <c r="O7" i="22"/>
  <c r="C8" i="22"/>
  <c r="AA8" i="22"/>
  <c r="O9" i="22"/>
  <c r="C10" i="22"/>
  <c r="AA10" i="22"/>
  <c r="O11" i="22"/>
  <c r="C12" i="22"/>
  <c r="W12" i="22"/>
  <c r="B13" i="22"/>
  <c r="N13" i="22"/>
  <c r="I23" i="22"/>
  <c r="B26" i="22"/>
  <c r="N26" i="22"/>
  <c r="Z26" i="22"/>
  <c r="AJ26" i="22"/>
  <c r="W28" i="22"/>
  <c r="K29" i="22"/>
  <c r="AI29" i="22"/>
  <c r="H31" i="22"/>
  <c r="AI32" i="22"/>
  <c r="F24" i="22"/>
  <c r="E26" i="22"/>
  <c r="AC26" i="22"/>
  <c r="T28" i="22"/>
  <c r="AF29" i="22"/>
  <c r="K31" i="22"/>
  <c r="Q28" i="22"/>
  <c r="AC29" i="22"/>
  <c r="N31" i="22"/>
  <c r="H3" i="22"/>
  <c r="AF3" i="22"/>
  <c r="T4" i="22"/>
  <c r="H5" i="22"/>
  <c r="AF5" i="22"/>
  <c r="T6" i="22"/>
  <c r="H7" i="22"/>
  <c r="AF7" i="22"/>
  <c r="T8" i="22"/>
  <c r="H9" i="22"/>
  <c r="AF9" i="22"/>
  <c r="T10" i="22"/>
  <c r="H11" i="22"/>
  <c r="AF11" i="22"/>
  <c r="Q13" i="22"/>
  <c r="E14" i="22"/>
  <c r="AC14" i="22"/>
  <c r="W15" i="22"/>
  <c r="K16" i="22"/>
  <c r="AI16" i="22"/>
  <c r="W17" i="22"/>
  <c r="K18" i="22"/>
  <c r="AI18" i="22"/>
  <c r="W19" i="22"/>
  <c r="K20" i="22"/>
  <c r="AI20" i="22"/>
  <c r="W22" i="22"/>
  <c r="K23" i="22"/>
  <c r="AI23" i="22"/>
  <c r="Z25" i="22"/>
  <c r="Q27" i="22"/>
  <c r="L31" i="22"/>
  <c r="T12" i="22"/>
  <c r="K13" i="22"/>
  <c r="AD22" i="22"/>
  <c r="AJ23" i="22"/>
  <c r="K26" i="22"/>
  <c r="H28" i="22"/>
  <c r="W32" i="22"/>
  <c r="W2" i="22"/>
  <c r="U12" i="22"/>
  <c r="L13" i="22"/>
  <c r="AF16" i="22"/>
  <c r="AG16" i="22"/>
  <c r="H17" i="22"/>
  <c r="I17" i="22"/>
  <c r="T17" i="22"/>
  <c r="U17" i="22"/>
  <c r="AF17" i="22"/>
  <c r="AG17" i="22"/>
  <c r="H18" i="22"/>
  <c r="I18" i="22"/>
  <c r="T18" i="22"/>
  <c r="U18" i="22"/>
  <c r="AF18" i="22"/>
  <c r="AG18" i="22"/>
  <c r="H19" i="22"/>
  <c r="I19" i="22"/>
  <c r="T19" i="22"/>
  <c r="U19" i="22"/>
  <c r="AF19" i="22"/>
  <c r="AG19" i="22"/>
  <c r="H20" i="22"/>
  <c r="I20" i="22"/>
  <c r="T20" i="22"/>
  <c r="U20" i="22"/>
  <c r="AF20" i="22"/>
  <c r="AG20" i="22"/>
  <c r="N22" i="22"/>
  <c r="O22" i="22"/>
  <c r="B23" i="22"/>
  <c r="Z23" i="22"/>
  <c r="AA23" i="22"/>
  <c r="Q25" i="22"/>
  <c r="L26" i="22"/>
  <c r="H27" i="22"/>
  <c r="Z27" i="22"/>
  <c r="AA27" i="22"/>
  <c r="I28" i="22"/>
  <c r="N29" i="22"/>
  <c r="O29" i="22"/>
  <c r="N32" i="22"/>
  <c r="O32" i="22"/>
  <c r="AC2" i="22"/>
  <c r="AD2" i="22"/>
  <c r="I3" i="22"/>
  <c r="AG3" i="22"/>
  <c r="U4" i="22"/>
  <c r="I5" i="22"/>
  <c r="AG5" i="22"/>
  <c r="U6" i="22"/>
  <c r="I7" i="22"/>
  <c r="AG7" i="22"/>
  <c r="U8" i="22"/>
  <c r="I9" i="22"/>
  <c r="AG9" i="22"/>
  <c r="U10" i="22"/>
  <c r="I11" i="22"/>
  <c r="AG11" i="22"/>
  <c r="K21" i="22"/>
  <c r="L21" i="22"/>
  <c r="W21" i="22"/>
  <c r="X21" i="22"/>
  <c r="AI21" i="22"/>
  <c r="AJ21" i="22"/>
  <c r="C23" i="22"/>
  <c r="Q24" i="22"/>
  <c r="R24" i="22"/>
  <c r="AC24" i="22"/>
  <c r="AD24" i="22"/>
  <c r="E25" i="22"/>
  <c r="F25" i="22"/>
  <c r="N28" i="22"/>
  <c r="O28" i="22"/>
  <c r="Z29" i="22"/>
  <c r="AA29" i="22"/>
  <c r="Z30" i="22"/>
  <c r="AA30" i="22"/>
  <c r="Q31" i="22"/>
  <c r="R31" i="22"/>
  <c r="H32" i="22"/>
  <c r="I32" i="22"/>
  <c r="I27" i="22"/>
  <c r="B25" i="22"/>
  <c r="C25" i="22"/>
  <c r="AA25" i="22"/>
  <c r="Z19" i="22"/>
  <c r="Z20" i="22"/>
  <c r="Z22" i="22"/>
  <c r="AF23" i="22"/>
  <c r="AG23" i="22"/>
  <c r="B27" i="22"/>
  <c r="B28" i="22"/>
  <c r="U31" i="22"/>
  <c r="L2" i="22"/>
  <c r="X12" i="22"/>
  <c r="R13" i="22"/>
  <c r="AD14" i="22"/>
  <c r="L16" i="22"/>
  <c r="X17" i="22"/>
  <c r="AJ18" i="22"/>
  <c r="L20" i="22"/>
  <c r="Q21" i="22"/>
  <c r="E22" i="22"/>
  <c r="W24" i="22"/>
  <c r="R25" i="22"/>
  <c r="O26" i="22"/>
  <c r="B29" i="22"/>
  <c r="AC31" i="22"/>
  <c r="AG27" i="22"/>
  <c r="L29" i="22"/>
  <c r="I31" i="22"/>
  <c r="AD26" i="22"/>
  <c r="AG29" i="22"/>
  <c r="R28" i="22"/>
  <c r="O31" i="22"/>
  <c r="X2" i="22"/>
  <c r="Z3" i="22"/>
  <c r="N4" i="22"/>
  <c r="Z5" i="22"/>
  <c r="N6" i="22"/>
  <c r="B7" i="22"/>
  <c r="Z7" i="22"/>
  <c r="N8" i="22"/>
  <c r="B9" i="22"/>
  <c r="Z9" i="22"/>
  <c r="N10" i="22"/>
  <c r="B11" i="22"/>
  <c r="Z11" i="22"/>
  <c r="N12" i="22"/>
  <c r="AI13" i="22"/>
  <c r="AJ13" i="22"/>
  <c r="W14" i="22"/>
  <c r="X14" i="22"/>
  <c r="Q15" i="22"/>
  <c r="R15" i="22"/>
  <c r="E16" i="22"/>
  <c r="F16" i="22"/>
  <c r="AC16" i="22"/>
  <c r="AD16" i="22"/>
  <c r="Q17" i="22"/>
  <c r="R17" i="22"/>
  <c r="E18" i="22"/>
  <c r="F18" i="22"/>
  <c r="AC18" i="22"/>
  <c r="AD18" i="22"/>
  <c r="Q19" i="22"/>
  <c r="R19" i="22"/>
  <c r="E20" i="22"/>
  <c r="F20" i="22"/>
  <c r="AC20" i="22"/>
  <c r="AD20" i="22"/>
  <c r="Q22" i="22"/>
  <c r="E23" i="22"/>
  <c r="F23" i="22"/>
  <c r="AC23" i="22"/>
  <c r="AD23" i="22"/>
  <c r="T25" i="22"/>
  <c r="K27" i="22"/>
  <c r="L27" i="22"/>
  <c r="AI27" i="22"/>
  <c r="AF2" i="22"/>
  <c r="E13" i="22"/>
  <c r="N21" i="22"/>
  <c r="O21" i="22"/>
  <c r="Z21" i="22"/>
  <c r="AA21" i="22"/>
  <c r="B22" i="22"/>
  <c r="C22" i="22"/>
  <c r="X22" i="22"/>
  <c r="Z24" i="22"/>
  <c r="AA24" i="22"/>
  <c r="AG25" i="22"/>
  <c r="R27" i="22"/>
  <c r="H30" i="22"/>
  <c r="I30" i="22"/>
  <c r="W31" i="22"/>
  <c r="X31" i="22"/>
  <c r="E28" i="22"/>
  <c r="F28" i="22"/>
  <c r="Q29" i="22"/>
  <c r="R29" i="22"/>
  <c r="Z31" i="22"/>
  <c r="AA31" i="22"/>
  <c r="E3" i="22"/>
  <c r="F3" i="22"/>
  <c r="Q3" i="22"/>
  <c r="R3" i="22"/>
  <c r="AC3" i="22"/>
  <c r="AD3" i="22"/>
  <c r="E4" i="22"/>
  <c r="F4" i="22"/>
  <c r="Q4" i="22"/>
  <c r="R4" i="22"/>
  <c r="AC4" i="22"/>
  <c r="AD4" i="22"/>
  <c r="E5" i="22"/>
  <c r="F5" i="22"/>
  <c r="Q5" i="22"/>
  <c r="R5" i="22"/>
  <c r="AC5" i="22"/>
  <c r="AD5" i="22"/>
  <c r="E6" i="22"/>
  <c r="F6" i="22"/>
  <c r="Q6" i="22"/>
  <c r="R6" i="22"/>
  <c r="AC6" i="22"/>
  <c r="AD6" i="22"/>
  <c r="E7" i="22"/>
  <c r="F7" i="22"/>
  <c r="Q7" i="22"/>
  <c r="R7" i="22"/>
  <c r="AC7" i="22"/>
  <c r="AD7" i="22"/>
  <c r="E8" i="22"/>
  <c r="F8" i="22"/>
  <c r="Q8" i="22"/>
  <c r="R8" i="22"/>
  <c r="AC8" i="22"/>
  <c r="AD8" i="22"/>
  <c r="E9" i="22"/>
  <c r="F9" i="22"/>
  <c r="Q9" i="22"/>
  <c r="R9" i="22"/>
  <c r="AC9" i="22"/>
  <c r="AD9" i="22"/>
  <c r="E10" i="22"/>
  <c r="F10" i="22"/>
  <c r="Q10" i="22"/>
  <c r="R10" i="22"/>
  <c r="AC10" i="22"/>
  <c r="AD10" i="22"/>
  <c r="E11" i="22"/>
  <c r="F11" i="22"/>
  <c r="Q11" i="22"/>
  <c r="R11" i="22"/>
  <c r="AC11" i="22"/>
  <c r="AD11" i="22"/>
  <c r="E12" i="22"/>
  <c r="F12" i="22"/>
  <c r="O12" i="22"/>
  <c r="F13" i="22"/>
  <c r="Z13" i="22"/>
  <c r="AA13" i="22"/>
  <c r="B14" i="22"/>
  <c r="C14" i="22"/>
  <c r="N14" i="22"/>
  <c r="O14" i="22"/>
  <c r="Z14" i="22"/>
  <c r="AA14" i="22"/>
  <c r="B15" i="22"/>
  <c r="C15" i="22"/>
  <c r="N15" i="22"/>
  <c r="O15" i="22"/>
  <c r="Z15" i="22"/>
  <c r="AA15" i="22"/>
  <c r="B16" i="22"/>
  <c r="C16" i="22"/>
  <c r="N16" i="22"/>
  <c r="O16" i="22"/>
  <c r="Z16" i="22"/>
  <c r="AA19" i="22"/>
  <c r="AA20" i="22"/>
  <c r="AF22" i="22"/>
  <c r="T23" i="22"/>
  <c r="U23" i="22"/>
  <c r="B24" i="22"/>
  <c r="C24" i="22"/>
  <c r="AI25" i="22"/>
  <c r="C27" i="22"/>
  <c r="T27" i="22"/>
  <c r="U27" i="22"/>
  <c r="C28" i="22"/>
  <c r="AG28" i="22"/>
  <c r="B30" i="22"/>
  <c r="C30" i="22"/>
  <c r="E2" i="22"/>
  <c r="F2" i="22"/>
  <c r="AA3" i="22"/>
  <c r="O4" i="22"/>
  <c r="AA5" i="22"/>
  <c r="O6" i="22"/>
  <c r="C7" i="22"/>
  <c r="AA7" i="22"/>
  <c r="O8" i="22"/>
  <c r="C9" i="22"/>
  <c r="AA9" i="22"/>
  <c r="O10" i="22"/>
  <c r="C11" i="22"/>
  <c r="AA11" i="22"/>
  <c r="Q12" i="22"/>
  <c r="R12" i="22"/>
  <c r="AF12" i="22"/>
  <c r="AG12" i="22"/>
  <c r="H13" i="22"/>
  <c r="I13" i="22"/>
  <c r="X13" i="22"/>
  <c r="L14" i="22"/>
  <c r="AJ14" i="22"/>
  <c r="AD15" i="22"/>
  <c r="R16" i="22"/>
  <c r="F17" i="22"/>
  <c r="AD17" i="22"/>
  <c r="R18" i="22"/>
  <c r="F19" i="22"/>
  <c r="AD19" i="22"/>
  <c r="R20" i="22"/>
  <c r="F21" i="22"/>
  <c r="R21" i="22"/>
  <c r="F22" i="22"/>
  <c r="AG22" i="22"/>
  <c r="X24" i="22"/>
  <c r="X25" i="22"/>
  <c r="H26" i="22"/>
  <c r="I26" i="22"/>
  <c r="T26" i="22"/>
  <c r="U26" i="22"/>
  <c r="AF26" i="22"/>
  <c r="AG26" i="22"/>
  <c r="X27" i="22"/>
  <c r="C29" i="22"/>
  <c r="AD31" i="22"/>
  <c r="K28" i="22"/>
  <c r="L28" i="22"/>
  <c r="AI28" i="22"/>
  <c r="AJ28" i="22"/>
  <c r="W29" i="22"/>
  <c r="X29" i="22"/>
  <c r="Q30" i="22"/>
  <c r="R30" i="22"/>
  <c r="AF31" i="22"/>
  <c r="AG31" i="22"/>
  <c r="R23" i="22"/>
  <c r="U25" i="22"/>
  <c r="Q26" i="22"/>
  <c r="R26" i="22"/>
  <c r="E27" i="22"/>
  <c r="F27" i="22"/>
  <c r="H29" i="22"/>
  <c r="I29" i="22"/>
  <c r="T30" i="22"/>
  <c r="U30" i="22"/>
  <c r="E29" i="22"/>
  <c r="F29" i="22"/>
  <c r="W30" i="22"/>
  <c r="X30" i="22"/>
  <c r="B32" i="22"/>
  <c r="C32" i="22"/>
  <c r="T2" i="22"/>
  <c r="U2" i="22"/>
  <c r="T3" i="22"/>
  <c r="U3" i="22"/>
  <c r="H4" i="22"/>
  <c r="AF4" i="22"/>
  <c r="AG4" i="22"/>
  <c r="T5" i="22"/>
  <c r="H6" i="22"/>
  <c r="I6" i="22"/>
  <c r="AF6" i="22"/>
  <c r="T7" i="22"/>
  <c r="U7" i="22"/>
  <c r="H8" i="22"/>
  <c r="AF8" i="22"/>
  <c r="AG8" i="22"/>
  <c r="T9" i="22"/>
  <c r="H10" i="22"/>
  <c r="I10" i="22"/>
  <c r="AF10" i="22"/>
  <c r="T11" i="22"/>
  <c r="U11" i="22"/>
  <c r="H12" i="22"/>
  <c r="AC13" i="22"/>
  <c r="AD13" i="22"/>
  <c r="Q14" i="22"/>
  <c r="R14" i="22"/>
  <c r="E15" i="22"/>
  <c r="F15" i="22"/>
  <c r="AI15" i="22"/>
  <c r="AJ15" i="22"/>
  <c r="W16" i="22"/>
  <c r="X16" i="22"/>
  <c r="K17" i="22"/>
  <c r="L17" i="22"/>
  <c r="AI17" i="22"/>
  <c r="AJ17" i="22"/>
  <c r="W18" i="22"/>
  <c r="X18" i="22"/>
  <c r="K19" i="22"/>
  <c r="L19" i="22"/>
  <c r="AI19" i="22"/>
  <c r="AJ19" i="22"/>
  <c r="W20" i="22"/>
  <c r="X20" i="22"/>
  <c r="K22" i="22"/>
  <c r="L22" i="22"/>
  <c r="AI22" i="22"/>
  <c r="AJ22" i="22"/>
  <c r="W23" i="22"/>
  <c r="X23" i="22"/>
  <c r="N25" i="22"/>
  <c r="O25" i="22"/>
  <c r="AC27" i="22"/>
  <c r="AD27" i="22"/>
  <c r="Z2" i="22"/>
  <c r="AA2" i="22"/>
  <c r="AI12" i="22"/>
  <c r="AA16" i="22"/>
  <c r="U21" i="22"/>
  <c r="AG21" i="22"/>
  <c r="R22" i="22"/>
  <c r="L23" i="22"/>
  <c r="O24" i="22"/>
  <c r="AG24" i="22"/>
  <c r="AI26" i="22"/>
  <c r="T29" i="22"/>
  <c r="U29" i="22"/>
  <c r="AG30" i="22"/>
  <c r="U32" i="22"/>
  <c r="AD28" i="22"/>
  <c r="AI30" i="22"/>
  <c r="AJ30" i="22"/>
  <c r="Q2" i="22"/>
  <c r="R2" i="22"/>
  <c r="AG2" i="22"/>
  <c r="L3" i="22"/>
  <c r="X3" i="22"/>
  <c r="AJ3" i="22"/>
  <c r="L4" i="22"/>
  <c r="X4" i="22"/>
  <c r="AJ4" i="22"/>
  <c r="L5" i="22"/>
  <c r="X5" i="22"/>
  <c r="AJ5" i="22"/>
  <c r="L6" i="22"/>
  <c r="X6" i="22"/>
  <c r="AJ6" i="22"/>
  <c r="L7" i="22"/>
  <c r="X7" i="22"/>
  <c r="AJ7" i="22"/>
  <c r="L8" i="22"/>
  <c r="X8" i="22"/>
  <c r="AJ8" i="22"/>
  <c r="L9" i="22"/>
  <c r="X9" i="22"/>
  <c r="AJ9" i="22"/>
  <c r="L10" i="22"/>
  <c r="X10" i="22"/>
  <c r="AJ10" i="22"/>
  <c r="L11" i="22"/>
  <c r="X11" i="22"/>
  <c r="AJ11" i="22"/>
  <c r="L12" i="22"/>
  <c r="AJ12" i="22"/>
  <c r="U13" i="22"/>
  <c r="AG13" i="22"/>
  <c r="I14" i="22"/>
  <c r="U14" i="22"/>
  <c r="AG14" i="22"/>
  <c r="I15" i="22"/>
  <c r="U15" i="22"/>
  <c r="AG15" i="22"/>
  <c r="I16" i="22"/>
  <c r="U16" i="22"/>
  <c r="B17" i="22"/>
  <c r="C17" i="22"/>
  <c r="N17" i="22"/>
  <c r="O17" i="22"/>
  <c r="Z17" i="22"/>
  <c r="AA17" i="22"/>
  <c r="B18" i="22"/>
  <c r="C18" i="22"/>
  <c r="N18" i="22"/>
  <c r="O18" i="22"/>
  <c r="Z18" i="22"/>
  <c r="AA18" i="22"/>
  <c r="B19" i="22"/>
  <c r="C19" i="22"/>
  <c r="N19" i="22"/>
  <c r="O19" i="22"/>
  <c r="B20" i="22"/>
  <c r="C20" i="22"/>
  <c r="N20" i="22"/>
  <c r="O20" i="22"/>
  <c r="B21" i="22"/>
  <c r="C21" i="22"/>
  <c r="N23" i="22"/>
  <c r="O23" i="22"/>
  <c r="AC25" i="22"/>
  <c r="AD25" i="22"/>
  <c r="O27" i="22"/>
  <c r="AA28" i="22"/>
  <c r="AC30" i="22"/>
  <c r="AD30" i="22"/>
  <c r="X32" i="22"/>
  <c r="AI2" i="22"/>
  <c r="AJ2" i="22"/>
  <c r="I4" i="22"/>
  <c r="U5" i="22"/>
  <c r="AG6" i="22"/>
  <c r="I8" i="22"/>
  <c r="U9" i="22"/>
  <c r="AG10" i="22"/>
  <c r="I12" i="22"/>
  <c r="C13" i="22"/>
  <c r="F14" i="22"/>
  <c r="X15" i="22"/>
  <c r="AJ16" i="22"/>
  <c r="L18" i="22"/>
  <c r="X19" i="22"/>
  <c r="AJ20" i="22"/>
  <c r="AC21" i="22"/>
  <c r="AD21" i="22"/>
  <c r="AA22" i="22"/>
  <c r="K24" i="22"/>
  <c r="L24" i="22"/>
  <c r="AI24" i="22"/>
  <c r="AJ24" i="22"/>
  <c r="C26" i="22"/>
  <c r="AA26" i="22"/>
  <c r="N30" i="22"/>
  <c r="O30" i="22"/>
  <c r="B31" i="22"/>
  <c r="C31" i="22"/>
  <c r="AC32" i="22"/>
  <c r="AD32" i="22"/>
  <c r="X28" i="22"/>
  <c r="AJ29" i="22"/>
  <c r="T24" i="22"/>
  <c r="U24" i="22"/>
  <c r="F26" i="22"/>
  <c r="U28" i="22"/>
  <c r="AI31" i="22"/>
  <c r="AJ31" i="22"/>
  <c r="AD29" i="22"/>
  <c r="C83" i="22"/>
  <c r="B83" i="22"/>
  <c r="AJ83" i="22"/>
  <c r="AI83" i="22"/>
  <c r="AD84" i="22"/>
  <c r="AC84" i="22"/>
  <c r="O82" i="22"/>
  <c r="N82" i="22"/>
  <c r="L76" i="22"/>
  <c r="K76" i="22"/>
  <c r="AD73" i="22"/>
  <c r="AC73" i="22"/>
  <c r="AD77" i="22"/>
  <c r="AC77" i="22"/>
  <c r="B73" i="22"/>
  <c r="C73" i="22"/>
  <c r="B72" i="22"/>
  <c r="C72" i="22"/>
  <c r="C71" i="22"/>
  <c r="B71" i="22"/>
  <c r="N70" i="22"/>
  <c r="O70" i="22"/>
  <c r="AA69" i="22"/>
  <c r="Z69" i="22"/>
  <c r="C69" i="22"/>
  <c r="B69" i="22"/>
  <c r="AJ82" i="22"/>
  <c r="AI82" i="22"/>
  <c r="U81" i="22"/>
  <c r="T81" i="22"/>
  <c r="AA54" i="22"/>
  <c r="Z54" i="22"/>
  <c r="X75" i="22"/>
  <c r="W75" i="22"/>
  <c r="L74" i="22"/>
  <c r="K74" i="22"/>
  <c r="AJ71" i="22"/>
  <c r="AI71" i="22"/>
  <c r="X70" i="22"/>
  <c r="W70" i="22"/>
  <c r="L69" i="22"/>
  <c r="K69" i="22"/>
  <c r="AI67" i="22"/>
  <c r="AJ67" i="22"/>
  <c r="R66" i="22"/>
  <c r="Q66" i="22"/>
  <c r="U54" i="22"/>
  <c r="T54" i="22"/>
  <c r="X82" i="22"/>
  <c r="W82" i="22"/>
  <c r="U82" i="22"/>
  <c r="T82" i="22"/>
  <c r="AF83" i="22"/>
  <c r="AG83" i="22"/>
  <c r="X81" i="22"/>
  <c r="W81" i="22"/>
  <c r="K80" i="22"/>
  <c r="L80" i="22"/>
  <c r="AG78" i="22"/>
  <c r="AF78" i="22"/>
  <c r="I78" i="22"/>
  <c r="H78" i="22"/>
  <c r="I65" i="22"/>
  <c r="H65" i="22"/>
  <c r="R64" i="22"/>
  <c r="Q64" i="22"/>
  <c r="F54" i="22"/>
  <c r="E54" i="22"/>
  <c r="U79" i="22"/>
  <c r="T79" i="22"/>
  <c r="U75" i="22"/>
  <c r="T75" i="22"/>
  <c r="C68" i="22"/>
  <c r="B68" i="22"/>
  <c r="O67" i="22"/>
  <c r="N67" i="22"/>
  <c r="Z66" i="22"/>
  <c r="AA66" i="22"/>
  <c r="B66" i="22"/>
  <c r="C66" i="22"/>
  <c r="F64" i="22"/>
  <c r="E64" i="22"/>
  <c r="R63" i="22"/>
  <c r="Q63" i="22"/>
  <c r="AD62" i="22"/>
  <c r="AC62" i="22"/>
  <c r="F62" i="22"/>
  <c r="E62" i="22"/>
  <c r="Q61" i="22"/>
  <c r="R61" i="22"/>
  <c r="AD60" i="22"/>
  <c r="AC60" i="22"/>
  <c r="F60" i="22"/>
  <c r="E60" i="22"/>
  <c r="R59" i="22"/>
  <c r="Q59" i="22"/>
  <c r="AC58" i="22"/>
  <c r="AD58" i="22"/>
  <c r="F58" i="22"/>
  <c r="E58" i="22"/>
  <c r="R57" i="22"/>
  <c r="Q57" i="22"/>
  <c r="AD56" i="22"/>
  <c r="AC56" i="22"/>
  <c r="E56" i="22"/>
  <c r="F56" i="22"/>
  <c r="R55" i="22"/>
  <c r="Q55" i="22"/>
  <c r="AA83" i="22"/>
  <c r="Z83" i="22"/>
  <c r="F80" i="22"/>
  <c r="E80" i="22"/>
  <c r="H82" i="22"/>
  <c r="I82" i="22"/>
  <c r="Z73" i="22"/>
  <c r="AA73" i="22"/>
  <c r="F75" i="22"/>
  <c r="E75" i="22"/>
  <c r="AC72" i="22"/>
  <c r="AD72" i="22"/>
  <c r="R71" i="22"/>
  <c r="Q71" i="22"/>
  <c r="F70" i="22"/>
  <c r="E70" i="22"/>
  <c r="AD68" i="22"/>
  <c r="AC68" i="22"/>
  <c r="Q67" i="22"/>
  <c r="R67" i="22"/>
  <c r="AJ65" i="22"/>
  <c r="AI65" i="22"/>
  <c r="C77" i="22"/>
  <c r="B77" i="22"/>
  <c r="I84" i="22"/>
  <c r="H84" i="22"/>
  <c r="AA82" i="22"/>
  <c r="Z82" i="22"/>
  <c r="O80" i="22"/>
  <c r="N80" i="22"/>
  <c r="AD76" i="22"/>
  <c r="AC76" i="22"/>
  <c r="X73" i="22"/>
  <c r="W73" i="22"/>
  <c r="AD54" i="22"/>
  <c r="AC54" i="22"/>
  <c r="O81" i="22"/>
  <c r="N81" i="22"/>
  <c r="AA79" i="22"/>
  <c r="Z79" i="22"/>
  <c r="AA75" i="22"/>
  <c r="Z75" i="22"/>
  <c r="O74" i="22"/>
  <c r="N74" i="22"/>
  <c r="T72" i="22"/>
  <c r="U72" i="22"/>
  <c r="AG71" i="22"/>
  <c r="AF71" i="22"/>
  <c r="I71" i="22"/>
  <c r="H71" i="22"/>
  <c r="U70" i="22"/>
  <c r="T70" i="22"/>
  <c r="AF69" i="22"/>
  <c r="AG69" i="22"/>
  <c r="H69" i="22"/>
  <c r="I69" i="22"/>
  <c r="U76" i="22"/>
  <c r="T76" i="22"/>
  <c r="AJ76" i="22"/>
  <c r="AI76" i="22"/>
  <c r="AJ54" i="22"/>
  <c r="AI54" i="22"/>
  <c r="AD82" i="22"/>
  <c r="AC82" i="22"/>
  <c r="O75" i="22"/>
  <c r="N75" i="22"/>
  <c r="O72" i="22"/>
  <c r="N72" i="22"/>
  <c r="N71" i="22"/>
  <c r="O71" i="22"/>
  <c r="AA70" i="22"/>
  <c r="Z70" i="22"/>
  <c r="C70" i="22"/>
  <c r="B70" i="22"/>
  <c r="O69" i="22"/>
  <c r="N69" i="22"/>
  <c r="Q54" i="22"/>
  <c r="R54" i="22"/>
  <c r="AD79" i="22"/>
  <c r="AC79" i="22"/>
  <c r="N77" i="22"/>
  <c r="O77" i="22"/>
  <c r="AJ74" i="22"/>
  <c r="AI74" i="22"/>
  <c r="X72" i="22"/>
  <c r="W72" i="22"/>
  <c r="L71" i="22"/>
  <c r="K71" i="22"/>
  <c r="AJ69" i="22"/>
  <c r="AI69" i="22"/>
  <c r="X68" i="22"/>
  <c r="W68" i="22"/>
  <c r="F67" i="22"/>
  <c r="E67" i="22"/>
  <c r="AC65" i="22"/>
  <c r="AD65" i="22"/>
  <c r="U63" i="22"/>
  <c r="T63" i="22"/>
  <c r="H62" i="22"/>
  <c r="I62" i="22"/>
  <c r="AG60" i="22"/>
  <c r="AF60" i="22"/>
  <c r="U59" i="22"/>
  <c r="T59" i="22"/>
  <c r="I58" i="22"/>
  <c r="H58" i="22"/>
  <c r="AG56" i="22"/>
  <c r="AF56" i="22"/>
  <c r="U55" i="22"/>
  <c r="T55" i="22"/>
  <c r="C84" i="22"/>
  <c r="B84" i="22"/>
  <c r="F81" i="22"/>
  <c r="E81" i="22"/>
  <c r="I81" i="22"/>
  <c r="H81" i="22"/>
  <c r="R78" i="22"/>
  <c r="Q78" i="22"/>
  <c r="Q82" i="22"/>
  <c r="R82" i="22"/>
  <c r="AI80" i="22"/>
  <c r="AJ80" i="22"/>
  <c r="U78" i="22"/>
  <c r="T78" i="22"/>
  <c r="AG64" i="22"/>
  <c r="AF64" i="22"/>
  <c r="C82" i="22"/>
  <c r="B82" i="22"/>
  <c r="C76" i="22"/>
  <c r="B76" i="22"/>
  <c r="O68" i="22"/>
  <c r="N68" i="22"/>
  <c r="Z67" i="22"/>
  <c r="AA67" i="22"/>
  <c r="C67" i="22"/>
  <c r="B67" i="22"/>
  <c r="O66" i="22"/>
  <c r="N66" i="22"/>
  <c r="AA65" i="22"/>
  <c r="Z65" i="22"/>
  <c r="AD63" i="22"/>
  <c r="AC63" i="22"/>
  <c r="E63" i="22"/>
  <c r="F63" i="22"/>
  <c r="R62" i="22"/>
  <c r="Q62" i="22"/>
  <c r="AD61" i="22"/>
  <c r="AC61" i="22"/>
  <c r="F61" i="22"/>
  <c r="E61" i="22"/>
  <c r="Q60" i="22"/>
  <c r="R60" i="22"/>
  <c r="AD59" i="22"/>
  <c r="AC59" i="22"/>
  <c r="F59" i="22"/>
  <c r="E59" i="22"/>
  <c r="R58" i="22"/>
  <c r="Q58" i="22"/>
  <c r="AC57" i="22"/>
  <c r="AD57" i="22"/>
  <c r="F57" i="22"/>
  <c r="E57" i="22"/>
  <c r="R56" i="22"/>
  <c r="Q56" i="22"/>
  <c r="AD55" i="22"/>
  <c r="AC55" i="22"/>
  <c r="E55" i="22"/>
  <c r="F55" i="22"/>
  <c r="Q81" i="22"/>
  <c r="R81" i="22"/>
  <c r="W83" i="22"/>
  <c r="X83" i="22"/>
  <c r="AA76" i="22"/>
  <c r="Z76" i="22"/>
  <c r="C74" i="22"/>
  <c r="B74" i="22"/>
  <c r="O73" i="22"/>
  <c r="N73" i="22"/>
  <c r="K79" i="22"/>
  <c r="L79" i="22"/>
  <c r="AD75" i="22"/>
  <c r="AC75" i="22"/>
  <c r="F72" i="22"/>
  <c r="E72" i="22"/>
  <c r="AD70" i="22"/>
  <c r="AC70" i="22"/>
  <c r="R69" i="22"/>
  <c r="Q69" i="22"/>
  <c r="F68" i="22"/>
  <c r="E68" i="22"/>
  <c r="X66" i="22"/>
  <c r="W66" i="22"/>
  <c r="AF75" i="22"/>
  <c r="AG75" i="22"/>
  <c r="R83" i="22"/>
  <c r="Q83" i="22"/>
  <c r="Z81" i="22"/>
  <c r="AA81" i="22"/>
  <c r="E77" i="22"/>
  <c r="F77" i="22"/>
  <c r="R76" i="22"/>
  <c r="Q76" i="22"/>
  <c r="AI73" i="22"/>
  <c r="AJ73" i="22"/>
  <c r="K73" i="22"/>
  <c r="L73" i="22"/>
  <c r="N84" i="22"/>
  <c r="O84" i="22"/>
  <c r="AG72" i="22"/>
  <c r="AF72" i="22"/>
  <c r="I72" i="22"/>
  <c r="H72" i="22"/>
  <c r="U71" i="22"/>
  <c r="T71" i="22"/>
  <c r="AG70" i="22"/>
  <c r="AF70" i="22"/>
  <c r="I70" i="22"/>
  <c r="H70" i="22"/>
  <c r="U69" i="22"/>
  <c r="T69" i="22"/>
  <c r="AF68" i="22"/>
  <c r="AG68" i="22"/>
  <c r="U74" i="22"/>
  <c r="T74" i="22"/>
  <c r="AD81" i="22"/>
  <c r="AC81" i="22"/>
  <c r="AJ72" i="22"/>
  <c r="AI72" i="22"/>
  <c r="X67" i="22"/>
  <c r="W67" i="22"/>
  <c r="AF62" i="22"/>
  <c r="AG62" i="22"/>
  <c r="U57" i="22"/>
  <c r="T57" i="22"/>
  <c r="U68" i="22"/>
  <c r="T68" i="22"/>
  <c r="I67" i="22"/>
  <c r="H67" i="22"/>
  <c r="AG65" i="22"/>
  <c r="AF65" i="22"/>
  <c r="AJ63" i="22"/>
  <c r="AI63" i="22"/>
  <c r="X62" i="22"/>
  <c r="W62" i="22"/>
  <c r="L61" i="22"/>
  <c r="K61" i="22"/>
  <c r="AI59" i="22"/>
  <c r="AJ59" i="22"/>
  <c r="AJ57" i="22"/>
  <c r="AI57" i="22"/>
  <c r="F78" i="22"/>
  <c r="E78" i="22"/>
  <c r="AI81" i="22"/>
  <c r="AJ81" i="22"/>
  <c r="C78" i="22"/>
  <c r="B78" i="22"/>
  <c r="X71" i="22"/>
  <c r="W71" i="22"/>
  <c r="AJ68" i="22"/>
  <c r="AI68" i="22"/>
  <c r="F66" i="22"/>
  <c r="E66" i="22"/>
  <c r="I64" i="22"/>
  <c r="H64" i="22"/>
  <c r="U61" i="22"/>
  <c r="T61" i="22"/>
  <c r="AG58" i="22"/>
  <c r="AF58" i="22"/>
  <c r="I56" i="22"/>
  <c r="H56" i="22"/>
  <c r="W84" i="22"/>
  <c r="X84" i="22"/>
  <c r="AA80" i="22"/>
  <c r="Z80" i="22"/>
  <c r="H68" i="22"/>
  <c r="I68" i="22"/>
  <c r="U67" i="22"/>
  <c r="T67" i="22"/>
  <c r="AG66" i="22"/>
  <c r="AF66" i="22"/>
  <c r="I66" i="22"/>
  <c r="H66" i="22"/>
  <c r="T65" i="22"/>
  <c r="U65" i="22"/>
  <c r="L64" i="22"/>
  <c r="K64" i="22"/>
  <c r="W63" i="22"/>
  <c r="X63" i="22"/>
  <c r="AJ62" i="22"/>
  <c r="AI62" i="22"/>
  <c r="L62" i="22"/>
  <c r="K62" i="22"/>
  <c r="X61" i="22"/>
  <c r="W61" i="22"/>
  <c r="AI60" i="22"/>
  <c r="AJ60" i="22"/>
  <c r="L60" i="22"/>
  <c r="K60" i="22"/>
  <c r="X59" i="22"/>
  <c r="W59" i="22"/>
  <c r="AJ58" i="22"/>
  <c r="AI58" i="22"/>
  <c r="K58" i="22"/>
  <c r="L58" i="22"/>
  <c r="X57" i="22"/>
  <c r="W57" i="22"/>
  <c r="AJ56" i="22"/>
  <c r="AI56" i="22"/>
  <c r="L56" i="22"/>
  <c r="K56" i="22"/>
  <c r="W55" i="22"/>
  <c r="X55" i="22"/>
  <c r="AF54" i="22"/>
  <c r="AG54" i="22"/>
  <c r="U84" i="22"/>
  <c r="T84" i="22"/>
  <c r="AF76" i="22"/>
  <c r="AG76" i="22"/>
  <c r="L75" i="22"/>
  <c r="K75" i="22"/>
  <c r="AG73" i="22"/>
  <c r="AF73" i="22"/>
  <c r="AA68" i="22"/>
  <c r="Z68" i="22"/>
  <c r="AD83" i="22"/>
  <c r="AC83" i="22"/>
  <c r="X79" i="22"/>
  <c r="W79" i="22"/>
  <c r="W77" i="22"/>
  <c r="X77" i="22"/>
  <c r="W76" i="22"/>
  <c r="X76" i="22"/>
  <c r="F74" i="22"/>
  <c r="E74" i="22"/>
  <c r="R73" i="22"/>
  <c r="Q73" i="22"/>
  <c r="R72" i="22"/>
  <c r="Q72" i="22"/>
  <c r="F71" i="22"/>
  <c r="E71" i="22"/>
  <c r="AD69" i="22"/>
  <c r="AC69" i="22"/>
  <c r="Q68" i="22"/>
  <c r="R68" i="22"/>
  <c r="AJ66" i="22"/>
  <c r="AI66" i="22"/>
  <c r="X65" i="22"/>
  <c r="W65" i="22"/>
  <c r="AA63" i="22"/>
  <c r="Z63" i="22"/>
  <c r="O62" i="22"/>
  <c r="N62" i="22"/>
  <c r="C61" i="22"/>
  <c r="B61" i="22"/>
  <c r="Z59" i="22"/>
  <c r="AA59" i="22"/>
  <c r="O58" i="22"/>
  <c r="N58" i="22"/>
  <c r="AA55" i="22"/>
  <c r="Z55" i="22"/>
  <c r="C80" i="22"/>
  <c r="B80" i="22"/>
  <c r="C79" i="22"/>
  <c r="B79" i="22"/>
  <c r="AA72" i="22"/>
  <c r="Z72" i="22"/>
  <c r="F65" i="22"/>
  <c r="E65" i="22"/>
  <c r="R79" i="22"/>
  <c r="Q79" i="22"/>
  <c r="X74" i="22"/>
  <c r="W74" i="22"/>
  <c r="O83" i="22"/>
  <c r="N83" i="22"/>
  <c r="AG81" i="22"/>
  <c r="AF81" i="22"/>
  <c r="I83" i="22"/>
  <c r="H83" i="22"/>
  <c r="AG79" i="22"/>
  <c r="AF79" i="22"/>
  <c r="N78" i="22"/>
  <c r="O78" i="22"/>
  <c r="K72" i="22"/>
  <c r="L72" i="22"/>
  <c r="W69" i="22"/>
  <c r="X69" i="22"/>
  <c r="AD66" i="22"/>
  <c r="AC66" i="22"/>
  <c r="X64" i="22"/>
  <c r="W64" i="22"/>
  <c r="L54" i="22"/>
  <c r="K54" i="22"/>
  <c r="AG63" i="22"/>
  <c r="AF63" i="22"/>
  <c r="U62" i="22"/>
  <c r="T62" i="22"/>
  <c r="H61" i="22"/>
  <c r="I61" i="22"/>
  <c r="AG59" i="22"/>
  <c r="AF59" i="22"/>
  <c r="T58" i="22"/>
  <c r="U58" i="22"/>
  <c r="I57" i="22"/>
  <c r="H57" i="22"/>
  <c r="AF55" i="22"/>
  <c r="AG55" i="22"/>
  <c r="I80" i="22"/>
  <c r="H80" i="22"/>
  <c r="K65" i="22"/>
  <c r="L65" i="22"/>
  <c r="AD74" i="22"/>
  <c r="AC74" i="22"/>
  <c r="L83" i="22"/>
  <c r="K83" i="22"/>
  <c r="C64" i="22"/>
  <c r="B64" i="22"/>
  <c r="AA62" i="22"/>
  <c r="Z62" i="22"/>
  <c r="O61" i="22"/>
  <c r="N61" i="22"/>
  <c r="C60" i="22"/>
  <c r="B60" i="22"/>
  <c r="AA58" i="22"/>
  <c r="Z58" i="22"/>
  <c r="N57" i="22"/>
  <c r="O57" i="22"/>
  <c r="C56" i="22"/>
  <c r="B56" i="22"/>
  <c r="L82" i="22"/>
  <c r="K82" i="22"/>
  <c r="O65" i="22"/>
  <c r="N65" i="22"/>
  <c r="T80" i="22"/>
  <c r="U80" i="22"/>
  <c r="X80" i="22"/>
  <c r="W80" i="22"/>
  <c r="AA78" i="22"/>
  <c r="Z78" i="22"/>
  <c r="Z74" i="22"/>
  <c r="AA74" i="22"/>
  <c r="L70" i="22"/>
  <c r="K70" i="22"/>
  <c r="B65" i="22"/>
  <c r="C65" i="22"/>
  <c r="I60" i="22"/>
  <c r="H60" i="22"/>
  <c r="O79" i="22"/>
  <c r="N79" i="22"/>
  <c r="AG67" i="22"/>
  <c r="AF67" i="22"/>
  <c r="T66" i="22"/>
  <c r="U66" i="22"/>
  <c r="AJ64" i="22"/>
  <c r="AI64" i="22"/>
  <c r="L63" i="22"/>
  <c r="K63" i="22"/>
  <c r="AJ61" i="22"/>
  <c r="AI61" i="22"/>
  <c r="X60" i="22"/>
  <c r="W60" i="22"/>
  <c r="K59" i="22"/>
  <c r="L59" i="22"/>
  <c r="X58" i="22"/>
  <c r="W58" i="22"/>
  <c r="L57" i="22"/>
  <c r="K57" i="22"/>
  <c r="W56" i="22"/>
  <c r="X56" i="22"/>
  <c r="AJ55" i="22"/>
  <c r="AI55" i="22"/>
  <c r="L55" i="22"/>
  <c r="K55" i="22"/>
  <c r="AD80" i="22"/>
  <c r="AC80" i="22"/>
  <c r="AF82" i="22"/>
  <c r="AG82" i="22"/>
  <c r="O76" i="22"/>
  <c r="N76" i="22"/>
  <c r="Q74" i="22"/>
  <c r="R74" i="22"/>
  <c r="T73" i="22"/>
  <c r="U73" i="22"/>
  <c r="F79" i="22"/>
  <c r="E79" i="22"/>
  <c r="U77" i="22"/>
  <c r="T77" i="22"/>
  <c r="Q75" i="22"/>
  <c r="R75" i="22"/>
  <c r="C81" i="22"/>
  <c r="B81" i="22"/>
  <c r="AG74" i="22"/>
  <c r="AF74" i="22"/>
  <c r="F73" i="22"/>
  <c r="E73" i="22"/>
  <c r="AD71" i="22"/>
  <c r="AC71" i="22"/>
  <c r="R70" i="22"/>
  <c r="Q70" i="22"/>
  <c r="E69" i="22"/>
  <c r="F69" i="22"/>
  <c r="AD67" i="22"/>
  <c r="AC67" i="22"/>
  <c r="K66" i="22"/>
  <c r="L66" i="22"/>
  <c r="C63" i="22"/>
  <c r="B63" i="22"/>
  <c r="AA61" i="22"/>
  <c r="Z61" i="22"/>
  <c r="O60" i="22"/>
  <c r="N60" i="22"/>
  <c r="C59" i="22"/>
  <c r="B59" i="22"/>
  <c r="AA57" i="22"/>
  <c r="Z57" i="22"/>
  <c r="O56" i="22"/>
  <c r="N56" i="22"/>
  <c r="AG80" i="22"/>
  <c r="AF80" i="22"/>
  <c r="AA71" i="22"/>
  <c r="Z71" i="22"/>
  <c r="O64" i="22"/>
  <c r="N64" i="22"/>
  <c r="AG77" i="22"/>
  <c r="AF77" i="22"/>
  <c r="X54" i="22"/>
  <c r="W54" i="22"/>
  <c r="R80" i="22"/>
  <c r="Q80" i="22"/>
  <c r="AC78" i="22"/>
  <c r="AD78" i="22"/>
  <c r="L81" i="22"/>
  <c r="K81" i="22"/>
  <c r="R77" i="22"/>
  <c r="Q77" i="22"/>
  <c r="AJ70" i="22"/>
  <c r="AI70" i="22"/>
  <c r="L68" i="22"/>
  <c r="K68" i="22"/>
  <c r="R65" i="22"/>
  <c r="Q65" i="22"/>
  <c r="U83" i="22"/>
  <c r="T83" i="22"/>
  <c r="AA77" i="22"/>
  <c r="Z77" i="22"/>
  <c r="I79" i="22"/>
  <c r="H79" i="22"/>
  <c r="C75" i="22"/>
  <c r="B75" i="22"/>
  <c r="I63" i="22"/>
  <c r="H63" i="22"/>
  <c r="AF61" i="22"/>
  <c r="AG61" i="22"/>
  <c r="U60" i="22"/>
  <c r="T60" i="22"/>
  <c r="I59" i="22"/>
  <c r="H59" i="22"/>
  <c r="AG57" i="22"/>
  <c r="AF57" i="22"/>
  <c r="U56" i="22"/>
  <c r="T56" i="22"/>
  <c r="I55" i="22"/>
  <c r="H55" i="22"/>
  <c r="L78" i="22"/>
  <c r="K78" i="22"/>
  <c r="U64" i="22"/>
  <c r="T64" i="22"/>
  <c r="AJ75" i="22"/>
  <c r="AI75" i="22"/>
  <c r="E76" i="22"/>
  <c r="F76" i="22"/>
  <c r="AJ78" i="22"/>
  <c r="AI78" i="22"/>
  <c r="I75" i="22"/>
  <c r="H75" i="22"/>
  <c r="N63" i="22"/>
  <c r="O63" i="22"/>
  <c r="C62" i="22"/>
  <c r="B62" i="22"/>
  <c r="Z60" i="22"/>
  <c r="AA60" i="22"/>
  <c r="O59" i="22"/>
  <c r="N59" i="22"/>
  <c r="B58" i="22"/>
  <c r="C58" i="22"/>
  <c r="AA56" i="22"/>
  <c r="Z56" i="22"/>
  <c r="O55" i="22"/>
  <c r="N55" i="22"/>
  <c r="N87" i="22"/>
  <c r="M34" i="22"/>
  <c r="X78" i="22"/>
  <c r="W78" i="22"/>
  <c r="AC64" i="22"/>
  <c r="AD64" i="22"/>
  <c r="H54" i="22"/>
  <c r="I54" i="22"/>
  <c r="W87" i="22"/>
  <c r="V34" i="22"/>
  <c r="W88" i="22"/>
  <c r="E87" i="22"/>
  <c r="D34" i="22"/>
  <c r="E88" i="22"/>
  <c r="N88" i="22"/>
  <c r="AF87" i="22"/>
  <c r="AE34" i="22"/>
  <c r="AF88" i="22"/>
  <c r="H87" i="22"/>
  <c r="G34" i="22"/>
  <c r="H88" i="22"/>
  <c r="O86" i="22"/>
  <c r="M33" i="22"/>
  <c r="M38" i="22"/>
  <c r="L86" i="22"/>
  <c r="J33" i="22"/>
  <c r="J38" i="22"/>
  <c r="AG86" i="22"/>
  <c r="AE33" i="22"/>
  <c r="AE38" i="22"/>
  <c r="R86" i="22"/>
  <c r="P33" i="22"/>
  <c r="P38" i="22"/>
  <c r="AD86" i="22"/>
  <c r="AB33" i="22"/>
  <c r="AB38" i="22"/>
  <c r="U86" i="22"/>
  <c r="S33" i="22"/>
  <c r="S38" i="22"/>
  <c r="AA86" i="22"/>
  <c r="Y33" i="22"/>
  <c r="Y38" i="22"/>
  <c r="I86" i="22"/>
  <c r="G33" i="22"/>
  <c r="G38" i="22"/>
  <c r="X86" i="22"/>
  <c r="V33" i="22"/>
  <c r="V38" i="22"/>
  <c r="K87" i="22"/>
  <c r="J34" i="22"/>
  <c r="K88" i="22"/>
  <c r="Q87" i="22"/>
  <c r="P34" i="22"/>
  <c r="Q88" i="22"/>
  <c r="AC87" i="22"/>
  <c r="AB34" i="22"/>
  <c r="AC88" i="22"/>
  <c r="F86" i="22"/>
  <c r="D33" i="22"/>
  <c r="D38" i="22"/>
  <c r="T87" i="22"/>
  <c r="S34" i="22"/>
  <c r="T88" i="22"/>
  <c r="Z87" i="22"/>
  <c r="Y34" i="22"/>
  <c r="Z88" i="22"/>
  <c r="Y35" i="22"/>
  <c r="Y37" i="22"/>
  <c r="Y36" i="22"/>
  <c r="S36" i="22"/>
  <c r="S35" i="22"/>
  <c r="S37" i="22"/>
  <c r="AB36" i="22"/>
  <c r="AB35" i="22"/>
  <c r="AB37" i="22"/>
  <c r="P36" i="22"/>
  <c r="P35" i="22"/>
  <c r="P37" i="22"/>
  <c r="J35" i="22"/>
  <c r="J37" i="22"/>
  <c r="J36" i="22"/>
  <c r="D35" i="22"/>
  <c r="D37" i="22"/>
  <c r="D36" i="22"/>
  <c r="V35" i="22"/>
  <c r="V37" i="22"/>
  <c r="V36" i="22"/>
  <c r="G35" i="22"/>
  <c r="G37" i="22"/>
  <c r="G36" i="22"/>
  <c r="AE35" i="22"/>
  <c r="AE37" i="22"/>
  <c r="AE36" i="22"/>
  <c r="M36" i="22"/>
  <c r="M35" i="22"/>
  <c r="M37" i="22"/>
  <c r="P17" i="6" l="1"/>
  <c r="T15" i="9"/>
  <c r="T14" i="9" s="1"/>
  <c r="R32" i="34"/>
  <c r="T32" i="34"/>
  <c r="F8" i="34"/>
  <c r="L7" i="14"/>
  <c r="F9" i="34"/>
  <c r="T9" i="34" s="1"/>
  <c r="AG17" i="2"/>
  <c r="AA17" i="13"/>
  <c r="W3" i="9"/>
  <c r="W6" i="9" s="1"/>
  <c r="G3" i="7"/>
  <c r="G6" i="7" s="1"/>
  <c r="H3" i="5"/>
  <c r="I3" i="34" s="1"/>
  <c r="I6" i="34" s="1"/>
  <c r="J17" i="11"/>
  <c r="AI4" i="5"/>
  <c r="AA15" i="10"/>
  <c r="AA14" i="10" s="1"/>
  <c r="I15" i="10"/>
  <c r="I14" i="10" s="1"/>
  <c r="R3" i="6"/>
  <c r="R6" i="6" s="1"/>
  <c r="F15" i="11"/>
  <c r="F14" i="11" s="1"/>
  <c r="K3" i="10"/>
  <c r="K6" i="10" s="1"/>
  <c r="U3" i="10"/>
  <c r="U6" i="10" s="1"/>
  <c r="O3" i="9"/>
  <c r="O6" i="9" s="1"/>
  <c r="K17" i="11"/>
  <c r="K17" i="9"/>
  <c r="M17" i="10"/>
  <c r="AG4" i="5"/>
  <c r="G15" i="10"/>
  <c r="N15" i="11"/>
  <c r="N14" i="11" s="1"/>
  <c r="T3" i="10"/>
  <c r="T6" i="10" s="1"/>
  <c r="AI3" i="5"/>
  <c r="AI6" i="5" s="1"/>
  <c r="F3" i="9"/>
  <c r="F6" i="9" s="1"/>
  <c r="AC15" i="11"/>
  <c r="AC14" i="11" s="1"/>
  <c r="AE17" i="9"/>
  <c r="AH3" i="5"/>
  <c r="AH6" i="5" s="1"/>
  <c r="W15" i="10"/>
  <c r="W14" i="10" s="1"/>
  <c r="E15" i="10"/>
  <c r="E14" i="10" s="1"/>
  <c r="O3" i="7"/>
  <c r="O6" i="7" s="1"/>
  <c r="Y15" i="2"/>
  <c r="Y14" i="2" s="1"/>
  <c r="N17" i="9"/>
  <c r="AH3" i="10"/>
  <c r="AD17" i="2"/>
  <c r="T15" i="10"/>
  <c r="T14" i="10" s="1"/>
  <c r="AA15" i="11"/>
  <c r="AA14" i="11" s="1"/>
  <c r="L15" i="2"/>
  <c r="L14" i="2" s="1"/>
  <c r="X17" i="11"/>
  <c r="S15" i="10"/>
  <c r="S14" i="10" s="1"/>
  <c r="H15" i="9"/>
  <c r="H14" i="9" s="1"/>
  <c r="T17" i="6"/>
  <c r="H15" i="10"/>
  <c r="H14" i="10" s="1"/>
  <c r="F15" i="10"/>
  <c r="F14" i="10" s="1"/>
  <c r="Z15" i="10"/>
  <c r="Z14" i="10" s="1"/>
  <c r="AC15" i="9"/>
  <c r="W15" i="11"/>
  <c r="W14" i="11" s="1"/>
  <c r="AE3" i="11"/>
  <c r="AE6" i="11" s="1"/>
  <c r="Z3" i="11"/>
  <c r="Z6" i="11" s="1"/>
  <c r="O17" i="2"/>
  <c r="I3" i="11"/>
  <c r="I6" i="11" s="1"/>
  <c r="AF17" i="11"/>
  <c r="F15" i="6"/>
  <c r="F14" i="6" s="1"/>
  <c r="P17" i="10"/>
  <c r="V3" i="10"/>
  <c r="V6" i="10" s="1"/>
  <c r="AF3" i="6"/>
  <c r="AF6" i="6" s="1"/>
  <c r="M3" i="5"/>
  <c r="M6" i="5" s="1"/>
  <c r="J17" i="2"/>
  <c r="X17" i="6"/>
  <c r="L15" i="10"/>
  <c r="L14" i="10" s="1"/>
  <c r="E17" i="10"/>
  <c r="K17" i="10"/>
  <c r="AE17" i="10"/>
  <c r="Y15" i="9"/>
  <c r="Y14" i="9" s="1"/>
  <c r="S15" i="11"/>
  <c r="S14" i="11" s="1"/>
  <c r="AA3" i="11"/>
  <c r="AA6" i="11" s="1"/>
  <c r="V3" i="11"/>
  <c r="V6" i="11" s="1"/>
  <c r="K17" i="2"/>
  <c r="Y3" i="11"/>
  <c r="Y6" i="11" s="1"/>
  <c r="G17" i="7"/>
  <c r="N17" i="10"/>
  <c r="U3" i="11"/>
  <c r="U6" i="11" s="1"/>
  <c r="R3" i="10"/>
  <c r="R6" i="10" s="1"/>
  <c r="AD3" i="6"/>
  <c r="AD6" i="6" s="1"/>
  <c r="L17" i="2"/>
  <c r="AF17" i="6"/>
  <c r="Q17" i="10"/>
  <c r="J15" i="10"/>
  <c r="J14" i="10" s="1"/>
  <c r="R15" i="10"/>
  <c r="R14" i="10" s="1"/>
  <c r="J3" i="10"/>
  <c r="J6" i="10" s="1"/>
  <c r="U15" i="9"/>
  <c r="U14" i="9" s="1"/>
  <c r="O15" i="11"/>
  <c r="O14" i="11" s="1"/>
  <c r="G3" i="11"/>
  <c r="G6" i="11" s="1"/>
  <c r="G17" i="2"/>
  <c r="N17" i="11"/>
  <c r="Q3" i="11"/>
  <c r="Q6" i="11" s="1"/>
  <c r="K15" i="6"/>
  <c r="K14" i="6" s="1"/>
  <c r="AD17" i="10"/>
  <c r="L17" i="10"/>
  <c r="E3" i="11"/>
  <c r="E6" i="11" s="1"/>
  <c r="N3" i="10"/>
  <c r="N6" i="10" s="1"/>
  <c r="AA3" i="6"/>
  <c r="AA6" i="6" s="1"/>
  <c r="N17" i="2"/>
  <c r="I17" i="9"/>
  <c r="U17" i="10"/>
  <c r="O17" i="10"/>
  <c r="W17" i="10"/>
  <c r="O3" i="10"/>
  <c r="O6" i="10" s="1"/>
  <c r="Q15" i="9"/>
  <c r="Q14" i="9" s="1"/>
  <c r="K15" i="11"/>
  <c r="K14" i="11" s="1"/>
  <c r="AF15" i="11"/>
  <c r="AF14" i="11" s="1"/>
  <c r="R3" i="11"/>
  <c r="R6" i="11" s="1"/>
  <c r="AG3" i="2"/>
  <c r="AG6" i="2" s="1"/>
  <c r="V17" i="11"/>
  <c r="AG3" i="11"/>
  <c r="AG6" i="11" s="1"/>
  <c r="R17" i="6"/>
  <c r="AC15" i="10"/>
  <c r="AC14" i="10" s="1"/>
  <c r="AC18" i="10" s="1"/>
  <c r="K15" i="10"/>
  <c r="K14" i="10" s="1"/>
  <c r="I3" i="10"/>
  <c r="I6" i="10" s="1"/>
  <c r="Y3" i="6"/>
  <c r="Y6" i="6" s="1"/>
  <c r="N17" i="5"/>
  <c r="Y17" i="10"/>
  <c r="V15" i="10"/>
  <c r="V14" i="10" s="1"/>
  <c r="H3" i="10"/>
  <c r="H6" i="10" s="1"/>
  <c r="S3" i="10"/>
  <c r="S6" i="10" s="1"/>
  <c r="P17" i="9"/>
  <c r="G15" i="11"/>
  <c r="G14" i="11" s="1"/>
  <c r="AA17" i="11"/>
  <c r="O3" i="11"/>
  <c r="O6" i="11" s="1"/>
  <c r="AD17" i="11"/>
  <c r="J17" i="9"/>
  <c r="AA15" i="6"/>
  <c r="AA14" i="6" s="1"/>
  <c r="AB17" i="10"/>
  <c r="J17" i="10"/>
  <c r="E3" i="10"/>
  <c r="E6" i="10" s="1"/>
  <c r="U3" i="6"/>
  <c r="U6" i="6" s="1"/>
  <c r="W3" i="3"/>
  <c r="W6" i="3" s="1"/>
  <c r="W3" i="10"/>
  <c r="W6" i="10" s="1"/>
  <c r="AB17" i="6"/>
  <c r="AG4" i="10"/>
  <c r="AF15" i="10"/>
  <c r="AF14" i="10" s="1"/>
  <c r="Q3" i="10"/>
  <c r="Q6" i="10" s="1"/>
  <c r="AA3" i="10"/>
  <c r="AA6" i="10" s="1"/>
  <c r="S3" i="9"/>
  <c r="S6" i="9" s="1"/>
  <c r="H3" i="11"/>
  <c r="H6" i="11" s="1"/>
  <c r="P15" i="11"/>
  <c r="P14" i="11" s="1"/>
  <c r="F3" i="11"/>
  <c r="F6" i="11" s="1"/>
  <c r="Z3" i="3"/>
  <c r="Z6" i="3" s="1"/>
  <c r="R17" i="11"/>
  <c r="AH4" i="5"/>
  <c r="AH17" i="5" s="1"/>
  <c r="Z17" i="10"/>
  <c r="H17" i="10"/>
  <c r="O3" i="6"/>
  <c r="O6" i="6" s="1"/>
  <c r="G17" i="9"/>
  <c r="AG15" i="2"/>
  <c r="AG14" i="2" s="1"/>
  <c r="AA3" i="13"/>
  <c r="AA6" i="13" s="1"/>
  <c r="E17" i="9"/>
  <c r="J15" i="11"/>
  <c r="J14" i="11" s="1"/>
  <c r="P3" i="10"/>
  <c r="P6" i="10" s="1"/>
  <c r="Y3" i="10"/>
  <c r="Y6" i="10" s="1"/>
  <c r="AI3" i="10"/>
  <c r="J3" i="9"/>
  <c r="J6" i="9" s="1"/>
  <c r="W17" i="11"/>
  <c r="E17" i="11"/>
  <c r="W3" i="2"/>
  <c r="W6" i="2" s="1"/>
  <c r="W17" i="9"/>
  <c r="Y3" i="9"/>
  <c r="Y6" i="9" s="1"/>
  <c r="S17" i="11"/>
  <c r="S17" i="5"/>
  <c r="X17" i="10"/>
  <c r="F17" i="10"/>
  <c r="AC17" i="10"/>
  <c r="AA17" i="10"/>
  <c r="L3" i="10"/>
  <c r="L6" i="10" s="1"/>
  <c r="I15" i="6"/>
  <c r="I14" i="6" s="1"/>
  <c r="AH4" i="11"/>
  <c r="AH15" i="11" s="1"/>
  <c r="AH14" i="11" s="1"/>
  <c r="X3" i="10"/>
  <c r="X6" i="10" s="1"/>
  <c r="AG3" i="10"/>
  <c r="AG6" i="10" s="1"/>
  <c r="AG3" i="5"/>
  <c r="AG6" i="5" s="1"/>
  <c r="N3" i="11"/>
  <c r="L15" i="11"/>
  <c r="L14" i="11" s="1"/>
  <c r="Y15" i="11"/>
  <c r="Y14" i="11" s="1"/>
  <c r="O3" i="2"/>
  <c r="O6" i="2" s="1"/>
  <c r="AA15" i="9"/>
  <c r="AA14" i="9" s="1"/>
  <c r="AC3" i="11"/>
  <c r="AC6" i="11" s="1"/>
  <c r="W17" i="6"/>
  <c r="V17" i="10"/>
  <c r="R17" i="7"/>
  <c r="Z17" i="7"/>
  <c r="I17" i="11"/>
  <c r="AB17" i="2"/>
  <c r="AI4" i="9"/>
  <c r="AI17" i="9" s="1"/>
  <c r="I17" i="10"/>
  <c r="E3" i="9"/>
  <c r="E6" i="9" s="1"/>
  <c r="AE15" i="11"/>
  <c r="AE14" i="11" s="1"/>
  <c r="F17" i="11"/>
  <c r="AH3" i="11"/>
  <c r="P15" i="2"/>
  <c r="AC3" i="9"/>
  <c r="AC6" i="9" s="1"/>
  <c r="P17" i="11"/>
  <c r="O17" i="6"/>
  <c r="T17" i="10"/>
  <c r="AD3" i="10"/>
  <c r="AD6" i="10" s="1"/>
  <c r="AF3" i="11"/>
  <c r="AF6" i="11" s="1"/>
  <c r="U17" i="11"/>
  <c r="J3" i="11"/>
  <c r="J6" i="11" s="1"/>
  <c r="AC3" i="2"/>
  <c r="AC6" i="2" s="1"/>
  <c r="V15" i="7"/>
  <c r="V14" i="7" s="1"/>
  <c r="AE3" i="10"/>
  <c r="AE6" i="10" s="1"/>
  <c r="AB15" i="11"/>
  <c r="AB14" i="11" s="1"/>
  <c r="AE17" i="11"/>
  <c r="AF3" i="2"/>
  <c r="AF6" i="2" s="1"/>
  <c r="Y15" i="10"/>
  <c r="Y14" i="10" s="1"/>
  <c r="P15" i="10"/>
  <c r="P14" i="10" s="1"/>
  <c r="AC3" i="10"/>
  <c r="AC6" i="10" s="1"/>
  <c r="Q17" i="11"/>
  <c r="S3" i="2"/>
  <c r="S6" i="2" s="1"/>
  <c r="M3" i="11"/>
  <c r="M6" i="11" s="1"/>
  <c r="AG4" i="6"/>
  <c r="O15" i="10"/>
  <c r="O14" i="10" s="1"/>
  <c r="J15" i="9"/>
  <c r="J14" i="9" s="1"/>
  <c r="AB3" i="10"/>
  <c r="AB6" i="10" s="1"/>
  <c r="M3" i="10"/>
  <c r="N3" i="34" s="1"/>
  <c r="N6" i="34" s="1"/>
  <c r="G17" i="11"/>
  <c r="U15" i="11"/>
  <c r="U14" i="11" s="1"/>
  <c r="K3" i="2"/>
  <c r="K6" i="2" s="1"/>
  <c r="H17" i="11"/>
  <c r="T15" i="6"/>
  <c r="T14" i="6" s="1"/>
  <c r="U15" i="10"/>
  <c r="U14" i="10" s="1"/>
  <c r="J17" i="7"/>
  <c r="N15" i="6"/>
  <c r="N14" i="6" s="1"/>
  <c r="M15" i="10"/>
  <c r="M14" i="10" s="1"/>
  <c r="AF3" i="10"/>
  <c r="AF6" i="10" s="1"/>
  <c r="AH2" i="9"/>
  <c r="M7" i="34" s="1"/>
  <c r="AI3" i="11"/>
  <c r="AD3" i="11"/>
  <c r="AD6" i="11" s="1"/>
  <c r="AD15" i="10"/>
  <c r="AD14" i="10" s="1"/>
  <c r="K17" i="6"/>
  <c r="K16" i="6" s="1"/>
  <c r="Z3" i="10"/>
  <c r="Z6" i="10" s="1"/>
  <c r="AI3" i="6"/>
  <c r="AG17" i="9"/>
  <c r="AG15" i="9"/>
  <c r="AG14" i="9" s="1"/>
  <c r="AG18" i="9" s="1"/>
  <c r="E3" i="5"/>
  <c r="E6" i="5" s="1"/>
  <c r="O15" i="5"/>
  <c r="O14" i="5" s="1"/>
  <c r="AE17" i="5"/>
  <c r="AI4" i="3"/>
  <c r="AI17" i="3" s="1"/>
  <c r="P17" i="5"/>
  <c r="AH17" i="11"/>
  <c r="P3" i="5"/>
  <c r="P6" i="5" s="1"/>
  <c r="L3" i="5"/>
  <c r="L6" i="5" s="1"/>
  <c r="K17" i="5"/>
  <c r="I17" i="4"/>
  <c r="M15" i="2"/>
  <c r="M14" i="2" s="1"/>
  <c r="S15" i="9"/>
  <c r="S14" i="9" s="1"/>
  <c r="U3" i="2"/>
  <c r="U6" i="2" s="1"/>
  <c r="AB17" i="5"/>
  <c r="X3" i="2"/>
  <c r="X6" i="2" s="1"/>
  <c r="P17" i="2"/>
  <c r="O15" i="9"/>
  <c r="O14" i="9" s="1"/>
  <c r="P3" i="9"/>
  <c r="P6" i="9" s="1"/>
  <c r="AD3" i="2"/>
  <c r="AD6" i="2" s="1"/>
  <c r="V15" i="2"/>
  <c r="H15" i="5"/>
  <c r="H14" i="5" s="1"/>
  <c r="H3" i="2"/>
  <c r="H6" i="2" s="1"/>
  <c r="M17" i="8"/>
  <c r="R17" i="2"/>
  <c r="AD15" i="9"/>
  <c r="AD14" i="9" s="1"/>
  <c r="G15" i="5"/>
  <c r="G14" i="5" s="1"/>
  <c r="Y3" i="5"/>
  <c r="Y6" i="5" s="1"/>
  <c r="K3" i="9"/>
  <c r="K6" i="9" s="1"/>
  <c r="W15" i="13"/>
  <c r="W14" i="13" s="1"/>
  <c r="Z3" i="2"/>
  <c r="Z6" i="2" s="1"/>
  <c r="R15" i="2"/>
  <c r="R14" i="2" s="1"/>
  <c r="V17" i="9"/>
  <c r="M17" i="5"/>
  <c r="M17" i="2"/>
  <c r="Y17" i="9"/>
  <c r="H17" i="2"/>
  <c r="G15" i="9"/>
  <c r="G14" i="9" s="1"/>
  <c r="V3" i="2"/>
  <c r="V6" i="2" s="1"/>
  <c r="F17" i="9"/>
  <c r="Q17" i="5"/>
  <c r="U17" i="2"/>
  <c r="AC17" i="9"/>
  <c r="V17" i="2"/>
  <c r="F17" i="2"/>
  <c r="Q3" i="5"/>
  <c r="Q6" i="5" s="1"/>
  <c r="R3" i="9"/>
  <c r="R6" i="9" s="1"/>
  <c r="AH2" i="2"/>
  <c r="F7" i="34" s="1"/>
  <c r="J15" i="2"/>
  <c r="J14" i="2" s="1"/>
  <c r="U17" i="5"/>
  <c r="T3" i="2"/>
  <c r="T6" i="2" s="1"/>
  <c r="H3" i="9"/>
  <c r="H6" i="9" s="1"/>
  <c r="X17" i="2"/>
  <c r="AA15" i="2"/>
  <c r="AA14" i="2" s="1"/>
  <c r="AA15" i="5"/>
  <c r="AA14" i="5" s="1"/>
  <c r="N3" i="9"/>
  <c r="N6" i="9" s="1"/>
  <c r="X17" i="9"/>
  <c r="AE3" i="2"/>
  <c r="AE6" i="2" s="1"/>
  <c r="N3" i="2"/>
  <c r="N6" i="2" s="1"/>
  <c r="AB3" i="3"/>
  <c r="AB6" i="3" s="1"/>
  <c r="W17" i="5"/>
  <c r="AA17" i="5"/>
  <c r="AE15" i="5"/>
  <c r="AE14" i="5" s="1"/>
  <c r="AE18" i="5" s="1"/>
  <c r="AC17" i="5"/>
  <c r="T3" i="5"/>
  <c r="T6" i="5" s="1"/>
  <c r="E17" i="5"/>
  <c r="Z15" i="5"/>
  <c r="Z14" i="5" s="1"/>
  <c r="X3" i="5"/>
  <c r="X6" i="5" s="1"/>
  <c r="O3" i="5"/>
  <c r="O6" i="5" s="1"/>
  <c r="T17" i="5"/>
  <c r="J17" i="5"/>
  <c r="P15" i="5"/>
  <c r="P14" i="5" s="1"/>
  <c r="W3" i="5"/>
  <c r="W6" i="5" s="1"/>
  <c r="Y17" i="5"/>
  <c r="L15" i="5"/>
  <c r="L14" i="5" s="1"/>
  <c r="W15" i="5"/>
  <c r="W14" i="5" s="1"/>
  <c r="Z3" i="5"/>
  <c r="Z6" i="5" s="1"/>
  <c r="AB15" i="5"/>
  <c r="AB14" i="5" s="1"/>
  <c r="AD15" i="5"/>
  <c r="AD14" i="5" s="1"/>
  <c r="X15" i="5"/>
  <c r="X14" i="5" s="1"/>
  <c r="AF15" i="5"/>
  <c r="AF14" i="5" s="1"/>
  <c r="T15" i="5"/>
  <c r="T14" i="5" s="1"/>
  <c r="I17" i="5"/>
  <c r="AB3" i="5"/>
  <c r="AB6" i="5" s="1"/>
  <c r="S3" i="5"/>
  <c r="S6" i="5" s="1"/>
  <c r="J3" i="5"/>
  <c r="J6" i="5" s="1"/>
  <c r="AF3" i="5"/>
  <c r="AF6" i="5" s="1"/>
  <c r="AD3" i="5"/>
  <c r="AD6" i="5" s="1"/>
  <c r="O17" i="5"/>
  <c r="N3" i="5"/>
  <c r="N6" i="5" s="1"/>
  <c r="G17" i="5"/>
  <c r="AE3" i="5"/>
  <c r="AE6" i="5" s="1"/>
  <c r="G3" i="5"/>
  <c r="G6" i="5" s="1"/>
  <c r="V3" i="5"/>
  <c r="V6" i="5" s="1"/>
  <c r="AA3" i="5"/>
  <c r="AA6" i="5" s="1"/>
  <c r="AH2" i="5"/>
  <c r="I7" i="34" s="1"/>
  <c r="K3" i="5"/>
  <c r="K6" i="5" s="1"/>
  <c r="F17" i="5"/>
  <c r="H17" i="5"/>
  <c r="AD17" i="5"/>
  <c r="W17" i="4"/>
  <c r="AH4" i="9"/>
  <c r="AH15" i="9" s="1"/>
  <c r="AH14" i="9" s="1"/>
  <c r="AG3" i="9"/>
  <c r="AG6" i="9" s="1"/>
  <c r="AI3" i="9"/>
  <c r="AH3" i="9"/>
  <c r="G17" i="3"/>
  <c r="I15" i="2"/>
  <c r="I14" i="2" s="1"/>
  <c r="F15" i="9"/>
  <c r="F14" i="9" s="1"/>
  <c r="Z15" i="9"/>
  <c r="Z14" i="9" s="1"/>
  <c r="AC15" i="5"/>
  <c r="AC14" i="5" s="1"/>
  <c r="F3" i="5"/>
  <c r="F6" i="5" s="1"/>
  <c r="W15" i="9"/>
  <c r="W14" i="9" s="1"/>
  <c r="X3" i="9"/>
  <c r="X6" i="9" s="1"/>
  <c r="L3" i="9"/>
  <c r="H15" i="2"/>
  <c r="H14" i="2" s="1"/>
  <c r="Y3" i="2"/>
  <c r="Y6" i="2" s="1"/>
  <c r="S17" i="9"/>
  <c r="M3" i="9"/>
  <c r="M6" i="9" s="1"/>
  <c r="L17" i="5"/>
  <c r="R17" i="5"/>
  <c r="Z17" i="9"/>
  <c r="Q3" i="9"/>
  <c r="Q6" i="9" s="1"/>
  <c r="AA3" i="9"/>
  <c r="AA6" i="9" s="1"/>
  <c r="AB3" i="9"/>
  <c r="AB6" i="9" s="1"/>
  <c r="V3" i="9"/>
  <c r="V6" i="9" s="1"/>
  <c r="L15" i="9"/>
  <c r="L14" i="9" s="1"/>
  <c r="Z3" i="9"/>
  <c r="Z6" i="9" s="1"/>
  <c r="AF15" i="9"/>
  <c r="AF14" i="9" s="1"/>
  <c r="H17" i="9"/>
  <c r="R15" i="9"/>
  <c r="R14" i="9" s="1"/>
  <c r="U3" i="9"/>
  <c r="U6" i="9" s="1"/>
  <c r="L17" i="9"/>
  <c r="M15" i="9"/>
  <c r="M14" i="9" s="1"/>
  <c r="AE3" i="9"/>
  <c r="AE6" i="9" s="1"/>
  <c r="X15" i="9"/>
  <c r="AB15" i="9"/>
  <c r="AB14" i="9" s="1"/>
  <c r="P15" i="9"/>
  <c r="P14" i="9" s="1"/>
  <c r="R17" i="9"/>
  <c r="AF3" i="9"/>
  <c r="AF6" i="9" s="1"/>
  <c r="AD3" i="9"/>
  <c r="AD6" i="9" s="1"/>
  <c r="AD17" i="9"/>
  <c r="I15" i="9"/>
  <c r="I14" i="9" s="1"/>
  <c r="Q17" i="2"/>
  <c r="L3" i="2"/>
  <c r="L6" i="2" s="1"/>
  <c r="Z15" i="2"/>
  <c r="Z14" i="2" s="1"/>
  <c r="W17" i="2"/>
  <c r="T15" i="2"/>
  <c r="T14" i="2" s="1"/>
  <c r="AC15" i="2"/>
  <c r="AC14" i="2" s="1"/>
  <c r="W15" i="2"/>
  <c r="W14" i="2" s="1"/>
  <c r="AA17" i="2"/>
  <c r="X15" i="2"/>
  <c r="X14" i="2" s="1"/>
  <c r="U15" i="2"/>
  <c r="U14" i="2" s="1"/>
  <c r="S15" i="2"/>
  <c r="S14" i="2" s="1"/>
  <c r="I17" i="2"/>
  <c r="K15" i="2"/>
  <c r="O15" i="2"/>
  <c r="O14" i="2" s="1"/>
  <c r="AF15" i="2"/>
  <c r="AF14" i="2" s="1"/>
  <c r="AF17" i="2"/>
  <c r="Q3" i="2"/>
  <c r="Q6" i="2" s="1"/>
  <c r="J3" i="2"/>
  <c r="J6" i="2" s="1"/>
  <c r="G3" i="2"/>
  <c r="G6" i="2" s="1"/>
  <c r="E17" i="2"/>
  <c r="AC17" i="2"/>
  <c r="AD15" i="2"/>
  <c r="I3" i="2"/>
  <c r="I6" i="2" s="1"/>
  <c r="AE17" i="2"/>
  <c r="AB15" i="2"/>
  <c r="AB14" i="2" s="1"/>
  <c r="Q15" i="2"/>
  <c r="Q14" i="2" s="1"/>
  <c r="Y17" i="2"/>
  <c r="M3" i="2"/>
  <c r="M6" i="2" s="1"/>
  <c r="F3" i="2"/>
  <c r="F6" i="2" s="1"/>
  <c r="G15" i="2"/>
  <c r="G14" i="2" s="1"/>
  <c r="M17" i="9"/>
  <c r="N15" i="9"/>
  <c r="N14" i="9" s="1"/>
  <c r="T3" i="9"/>
  <c r="T6" i="9" s="1"/>
  <c r="AH3" i="2"/>
  <c r="AH6" i="2" s="1"/>
  <c r="AA17" i="9"/>
  <c r="Q17" i="9"/>
  <c r="V15" i="9"/>
  <c r="V14" i="9" s="1"/>
  <c r="AC3" i="5"/>
  <c r="AC6" i="5" s="1"/>
  <c r="U3" i="4"/>
  <c r="U6" i="4" s="1"/>
  <c r="AE15" i="9"/>
  <c r="AE14" i="9" s="1"/>
  <c r="AB3" i="2"/>
  <c r="AB6" i="2" s="1"/>
  <c r="V17" i="5"/>
  <c r="U17" i="9"/>
  <c r="K15" i="9"/>
  <c r="K14" i="9" s="1"/>
  <c r="E3" i="2"/>
  <c r="R3" i="5"/>
  <c r="R6" i="5" s="1"/>
  <c r="T17" i="2"/>
  <c r="X17" i="5"/>
  <c r="U3" i="5"/>
  <c r="U6" i="5" s="1"/>
  <c r="G3" i="9"/>
  <c r="G6" i="9" s="1"/>
  <c r="N15" i="2"/>
  <c r="N14" i="2" s="1"/>
  <c r="AI4" i="2"/>
  <c r="AI17" i="2" s="1"/>
  <c r="Z17" i="5"/>
  <c r="AB17" i="9"/>
  <c r="AI3" i="2"/>
  <c r="AI6" i="2" s="1"/>
  <c r="R3" i="2"/>
  <c r="R6" i="2" s="1"/>
  <c r="AF17" i="9"/>
  <c r="AH4" i="2"/>
  <c r="AH17" i="2" s="1"/>
  <c r="Z17" i="2"/>
  <c r="AE15" i="2"/>
  <c r="AF17" i="5"/>
  <c r="I3" i="5"/>
  <c r="I6" i="5" s="1"/>
  <c r="I3" i="9"/>
  <c r="I6" i="9" s="1"/>
  <c r="T17" i="9"/>
  <c r="T16" i="9" s="1"/>
  <c r="T85" i="9" s="1"/>
  <c r="AA3" i="2"/>
  <c r="AA6" i="2" s="1"/>
  <c r="S17" i="2"/>
  <c r="O17" i="9"/>
  <c r="P3" i="2"/>
  <c r="P6" i="2" s="1"/>
  <c r="AB3" i="11"/>
  <c r="AB6" i="11" s="1"/>
  <c r="W3" i="11"/>
  <c r="W6" i="11" s="1"/>
  <c r="Q15" i="11"/>
  <c r="Q14" i="11" s="1"/>
  <c r="Q18" i="11" s="1"/>
  <c r="Y17" i="11"/>
  <c r="W17" i="7"/>
  <c r="AB17" i="11"/>
  <c r="X3" i="11"/>
  <c r="X6" i="11" s="1"/>
  <c r="S3" i="11"/>
  <c r="S6" i="11" s="1"/>
  <c r="M15" i="11"/>
  <c r="M14" i="11" s="1"/>
  <c r="T15" i="11"/>
  <c r="T14" i="11" s="1"/>
  <c r="X15" i="11"/>
  <c r="X14" i="11" s="1"/>
  <c r="AC17" i="11"/>
  <c r="T17" i="11"/>
  <c r="N15" i="10"/>
  <c r="N14" i="10" s="1"/>
  <c r="O17" i="11"/>
  <c r="AH2" i="11"/>
  <c r="O7" i="34" s="1"/>
  <c r="AF17" i="10"/>
  <c r="R17" i="10"/>
  <c r="L17" i="11"/>
  <c r="G3" i="6"/>
  <c r="G6" i="6" s="1"/>
  <c r="R15" i="11"/>
  <c r="R14" i="11" s="1"/>
  <c r="Z17" i="11"/>
  <c r="V15" i="11"/>
  <c r="V14" i="11" s="1"/>
  <c r="U17" i="7"/>
  <c r="H17" i="6"/>
  <c r="Z15" i="11"/>
  <c r="Z14" i="11" s="1"/>
  <c r="AH2" i="10"/>
  <c r="N7" i="34" s="1"/>
  <c r="AB15" i="10"/>
  <c r="T3" i="11"/>
  <c r="T6" i="11" s="1"/>
  <c r="P3" i="11"/>
  <c r="P6" i="11" s="1"/>
  <c r="I15" i="11"/>
  <c r="I14" i="11" s="1"/>
  <c r="L17" i="6"/>
  <c r="AD15" i="11"/>
  <c r="G3" i="10"/>
  <c r="G6" i="10" s="1"/>
  <c r="AH4" i="10"/>
  <c r="F3" i="10"/>
  <c r="F6" i="10" s="1"/>
  <c r="M17" i="11"/>
  <c r="L3" i="11"/>
  <c r="L6" i="11" s="1"/>
  <c r="K3" i="11"/>
  <c r="K6" i="11" s="1"/>
  <c r="E15" i="11"/>
  <c r="E14" i="11" s="1"/>
  <c r="AE15" i="10"/>
  <c r="AE14" i="10" s="1"/>
  <c r="Q15" i="10"/>
  <c r="Q14" i="10" s="1"/>
  <c r="K184" i="1"/>
  <c r="K182" i="1"/>
  <c r="B5" i="22"/>
  <c r="C5" i="22" s="1"/>
  <c r="C57" i="22" s="1"/>
  <c r="C2" i="22"/>
  <c r="AC14" i="12"/>
  <c r="S17" i="10"/>
  <c r="J16" i="18"/>
  <c r="AB15" i="13" s="1"/>
  <c r="AB14" i="13" s="1"/>
  <c r="J14" i="18"/>
  <c r="X15" i="6" s="1"/>
  <c r="I96" i="1"/>
  <c r="S17" i="3"/>
  <c r="AI4" i="7"/>
  <c r="I17" i="7"/>
  <c r="J3" i="7"/>
  <c r="AD15" i="7"/>
  <c r="AD14" i="7" s="1"/>
  <c r="N17" i="12"/>
  <c r="T3" i="12"/>
  <c r="T6" i="12" s="1"/>
  <c r="X17" i="12"/>
  <c r="Y3" i="12"/>
  <c r="Y6" i="12" s="1"/>
  <c r="AD17" i="12"/>
  <c r="AF3" i="12"/>
  <c r="AF6" i="12" s="1"/>
  <c r="U17" i="12"/>
  <c r="H3" i="3"/>
  <c r="H6" i="3" s="1"/>
  <c r="G3" i="3"/>
  <c r="G6" i="3" s="1"/>
  <c r="E3" i="3"/>
  <c r="E6" i="3" s="1"/>
  <c r="F15" i="3"/>
  <c r="F14" i="3" s="1"/>
  <c r="N15" i="3"/>
  <c r="N14" i="3" s="1"/>
  <c r="P15" i="7"/>
  <c r="P14" i="7" s="1"/>
  <c r="AF15" i="7"/>
  <c r="G17" i="12"/>
  <c r="AC15" i="7"/>
  <c r="AC14" i="7" s="1"/>
  <c r="U15" i="7"/>
  <c r="U14" i="7" s="1"/>
  <c r="E17" i="7"/>
  <c r="AC3" i="7"/>
  <c r="AC6" i="7" s="1"/>
  <c r="M3" i="12"/>
  <c r="M6" i="12" s="1"/>
  <c r="O17" i="3"/>
  <c r="F3" i="3"/>
  <c r="J17" i="12"/>
  <c r="P3" i="12"/>
  <c r="P6" i="12" s="1"/>
  <c r="T17" i="12"/>
  <c r="U3" i="12"/>
  <c r="U6" i="12" s="1"/>
  <c r="Y15" i="12"/>
  <c r="Y14" i="12" s="1"/>
  <c r="AB3" i="12"/>
  <c r="AB6" i="12" s="1"/>
  <c r="J15" i="12"/>
  <c r="J14" i="12" s="1"/>
  <c r="L15" i="3"/>
  <c r="L14" i="3" s="1"/>
  <c r="Q15" i="3"/>
  <c r="Q14" i="3" s="1"/>
  <c r="W15" i="3"/>
  <c r="W14" i="3" s="1"/>
  <c r="AG4" i="3"/>
  <c r="AG15" i="3" s="1"/>
  <c r="S17" i="7"/>
  <c r="P15" i="12"/>
  <c r="P14" i="12" s="1"/>
  <c r="AB17" i="7"/>
  <c r="T17" i="7"/>
  <c r="L17" i="7"/>
  <c r="W3" i="7"/>
  <c r="W6" i="7" s="1"/>
  <c r="F15" i="12"/>
  <c r="F14" i="12" s="1"/>
  <c r="AI3" i="12"/>
  <c r="K17" i="3"/>
  <c r="N15" i="7"/>
  <c r="N14" i="7" s="1"/>
  <c r="M17" i="7"/>
  <c r="F17" i="12"/>
  <c r="K3" i="12"/>
  <c r="K6" i="12" s="1"/>
  <c r="P17" i="12"/>
  <c r="R3" i="12"/>
  <c r="R6" i="12" s="1"/>
  <c r="M17" i="12"/>
  <c r="X3" i="12"/>
  <c r="X6" i="12" s="1"/>
  <c r="O3" i="12"/>
  <c r="AF3" i="3"/>
  <c r="AF6" i="3" s="1"/>
  <c r="AA3" i="3"/>
  <c r="AA6" i="3" s="1"/>
  <c r="AD3" i="3"/>
  <c r="AD6" i="3" s="1"/>
  <c r="AC17" i="3"/>
  <c r="Z15" i="3"/>
  <c r="Z14" i="3" s="1"/>
  <c r="Y17" i="3"/>
  <c r="AH4" i="3"/>
  <c r="AH17" i="3" s="1"/>
  <c r="T15" i="7"/>
  <c r="W17" i="12"/>
  <c r="AA15" i="7"/>
  <c r="AA14" i="7" s="1"/>
  <c r="S15" i="7"/>
  <c r="S14" i="7" s="1"/>
  <c r="K15" i="7"/>
  <c r="K14" i="7" s="1"/>
  <c r="Q15" i="12"/>
  <c r="Q14" i="12" s="1"/>
  <c r="U3" i="7"/>
  <c r="U6" i="7" s="1"/>
  <c r="E15" i="12"/>
  <c r="E14" i="12" s="1"/>
  <c r="Z3" i="12"/>
  <c r="Z6" i="12" s="1"/>
  <c r="P15" i="3"/>
  <c r="P14" i="3" s="1"/>
  <c r="Y17" i="7"/>
  <c r="N15" i="12"/>
  <c r="N14" i="12" s="1"/>
  <c r="AE3" i="12"/>
  <c r="AE6" i="12" s="1"/>
  <c r="AG4" i="12"/>
  <c r="AG15" i="12" s="1"/>
  <c r="AG14" i="12" s="1"/>
  <c r="H17" i="12"/>
  <c r="I3" i="12"/>
  <c r="I6" i="12" s="1"/>
  <c r="S15" i="12"/>
  <c r="S14" i="12" s="1"/>
  <c r="L3" i="12"/>
  <c r="L6" i="12" s="1"/>
  <c r="X3" i="3"/>
  <c r="X6" i="3" s="1"/>
  <c r="S3" i="3"/>
  <c r="S6" i="3" s="1"/>
  <c r="R3" i="3"/>
  <c r="R6" i="3" s="1"/>
  <c r="AH2" i="7"/>
  <c r="K7" i="34" s="1"/>
  <c r="X17" i="3"/>
  <c r="H15" i="7"/>
  <c r="H14" i="7" s="1"/>
  <c r="X15" i="7"/>
  <c r="X14" i="7" s="1"/>
  <c r="AE17" i="12"/>
  <c r="Y15" i="7"/>
  <c r="Y14" i="7" s="1"/>
  <c r="Q15" i="7"/>
  <c r="Q14" i="7" s="1"/>
  <c r="I15" i="7"/>
  <c r="I14" i="7" s="1"/>
  <c r="J3" i="12"/>
  <c r="J6" i="12" s="1"/>
  <c r="M3" i="7"/>
  <c r="M6" i="7" s="1"/>
  <c r="AG4" i="11"/>
  <c r="AG17" i="11" s="1"/>
  <c r="AB15" i="12"/>
  <c r="AB14" i="12" s="1"/>
  <c r="AC17" i="7"/>
  <c r="Q17" i="7"/>
  <c r="V15" i="12"/>
  <c r="V14" i="12" s="1"/>
  <c r="AA3" i="12"/>
  <c r="AA6" i="12" s="1"/>
  <c r="AA15" i="12"/>
  <c r="AA14" i="12" s="1"/>
  <c r="AG3" i="12"/>
  <c r="AG6" i="12" s="1"/>
  <c r="O15" i="12"/>
  <c r="O14" i="12" s="1"/>
  <c r="H3" i="12"/>
  <c r="H6" i="12" s="1"/>
  <c r="T3" i="3"/>
  <c r="T6" i="3" s="1"/>
  <c r="N3" i="3"/>
  <c r="N6" i="3" s="1"/>
  <c r="L17" i="3"/>
  <c r="K17" i="7"/>
  <c r="AA17" i="7"/>
  <c r="AF17" i="7"/>
  <c r="X17" i="7"/>
  <c r="P17" i="7"/>
  <c r="H17" i="7"/>
  <c r="F3" i="7"/>
  <c r="F6" i="7" s="1"/>
  <c r="AI4" i="10"/>
  <c r="G3" i="12"/>
  <c r="G6" i="12" s="1"/>
  <c r="AA17" i="3"/>
  <c r="AF15" i="3"/>
  <c r="AF14" i="3" s="1"/>
  <c r="AG4" i="7"/>
  <c r="H15" i="3"/>
  <c r="H14" i="3" s="1"/>
  <c r="R15" i="7"/>
  <c r="R14" i="7" s="1"/>
  <c r="T15" i="3"/>
  <c r="AB17" i="12"/>
  <c r="V17" i="12"/>
  <c r="W3" i="12"/>
  <c r="W6" i="12" s="1"/>
  <c r="R15" i="12"/>
  <c r="R14" i="12" s="1"/>
  <c r="AC3" i="12"/>
  <c r="AC6" i="12" s="1"/>
  <c r="E3" i="12"/>
  <c r="E6" i="12" s="1"/>
  <c r="K15" i="12"/>
  <c r="K14" i="12" s="1"/>
  <c r="AH4" i="12"/>
  <c r="AH17" i="12" s="1"/>
  <c r="P3" i="3"/>
  <c r="P6" i="3" s="1"/>
  <c r="O3" i="3"/>
  <c r="O6" i="3" s="1"/>
  <c r="J3" i="3"/>
  <c r="J6" i="3" s="1"/>
  <c r="E15" i="3"/>
  <c r="E14" i="3" s="1"/>
  <c r="L15" i="7"/>
  <c r="L14" i="7" s="1"/>
  <c r="AB15" i="7"/>
  <c r="AB14" i="7" s="1"/>
  <c r="AE15" i="7"/>
  <c r="AE14" i="7" s="1"/>
  <c r="W15" i="7"/>
  <c r="W14" i="7" s="1"/>
  <c r="O15" i="7"/>
  <c r="O14" i="7" s="1"/>
  <c r="G15" i="7"/>
  <c r="G14" i="7" s="1"/>
  <c r="L17" i="12"/>
  <c r="W15" i="12"/>
  <c r="W14" i="12" s="1"/>
  <c r="Q3" i="12"/>
  <c r="Q6" i="12" s="1"/>
  <c r="AE17" i="3"/>
  <c r="X15" i="3"/>
  <c r="X14" i="3" s="1"/>
  <c r="X18" i="3" s="1"/>
  <c r="AB15" i="3"/>
  <c r="AB14" i="3" s="1"/>
  <c r="W17" i="3"/>
  <c r="AH4" i="7"/>
  <c r="Z15" i="7"/>
  <c r="AF17" i="12"/>
  <c r="R17" i="12"/>
  <c r="I17" i="12"/>
  <c r="AI4" i="12"/>
  <c r="G15" i="12"/>
  <c r="G14" i="12" s="1"/>
  <c r="L3" i="3"/>
  <c r="L6" i="3" s="1"/>
  <c r="K3" i="3"/>
  <c r="K6" i="3" s="1"/>
  <c r="AC3" i="3"/>
  <c r="AC6" i="3" s="1"/>
  <c r="Z17" i="3"/>
  <c r="O17" i="7"/>
  <c r="AE17" i="7"/>
  <c r="AD17" i="7"/>
  <c r="V17" i="7"/>
  <c r="N17" i="7"/>
  <c r="F17" i="7"/>
  <c r="AE3" i="7"/>
  <c r="AE6" i="7" s="1"/>
  <c r="X23" i="34"/>
  <c r="X24" i="34" s="1"/>
  <c r="X25" i="34" s="1"/>
  <c r="O8" i="38"/>
  <c r="H11" i="18"/>
  <c r="H12" i="18" s="1"/>
  <c r="H13" i="18" s="1"/>
  <c r="H14" i="18" s="1"/>
  <c r="H15" i="18" s="1"/>
  <c r="J11" i="18"/>
  <c r="E15" i="6" s="1"/>
  <c r="E14" i="6" s="1"/>
  <c r="J9" i="18"/>
  <c r="E17" i="4"/>
  <c r="W17" i="8"/>
  <c r="F15" i="8"/>
  <c r="F14" i="8" s="1"/>
  <c r="X15" i="8"/>
  <c r="X14" i="8" s="1"/>
  <c r="AF17" i="4"/>
  <c r="H17" i="13"/>
  <c r="J15" i="13"/>
  <c r="J14" i="13" s="1"/>
  <c r="Z17" i="13"/>
  <c r="S17" i="4"/>
  <c r="AF17" i="8"/>
  <c r="AD3" i="7"/>
  <c r="AD6" i="7" s="1"/>
  <c r="V3" i="7"/>
  <c r="V6" i="7" s="1"/>
  <c r="N3" i="7"/>
  <c r="N6" i="7" s="1"/>
  <c r="E3" i="7"/>
  <c r="E6" i="7" s="1"/>
  <c r="K3" i="4"/>
  <c r="K6" i="4" s="1"/>
  <c r="Y17" i="8"/>
  <c r="Z15" i="8"/>
  <c r="Z14" i="8" s="1"/>
  <c r="F15" i="4"/>
  <c r="F14" i="4" s="1"/>
  <c r="T17" i="13"/>
  <c r="V15" i="13"/>
  <c r="V14" i="13" s="1"/>
  <c r="J17" i="13"/>
  <c r="H15" i="4"/>
  <c r="H14" i="4" s="1"/>
  <c r="AC15" i="8"/>
  <c r="AC14" i="8" s="1"/>
  <c r="AA17" i="8"/>
  <c r="AH4" i="8"/>
  <c r="AH17" i="8" s="1"/>
  <c r="T15" i="8"/>
  <c r="T14" i="8" s="1"/>
  <c r="T3" i="13"/>
  <c r="T6" i="13" s="1"/>
  <c r="AC17" i="13"/>
  <c r="S15" i="4"/>
  <c r="S14" i="4" s="1"/>
  <c r="X17" i="8"/>
  <c r="AB3" i="7"/>
  <c r="AB6" i="7" s="1"/>
  <c r="T3" i="7"/>
  <c r="T6" i="7" s="1"/>
  <c r="L3" i="7"/>
  <c r="L6" i="7" s="1"/>
  <c r="AH2" i="6"/>
  <c r="J7" i="34" s="1"/>
  <c r="X15" i="10"/>
  <c r="X14" i="10" s="1"/>
  <c r="F15" i="7"/>
  <c r="F14" i="7" s="1"/>
  <c r="AB17" i="3"/>
  <c r="Z17" i="12"/>
  <c r="AC17" i="8"/>
  <c r="AH2" i="8"/>
  <c r="L7" i="34" s="1"/>
  <c r="P3" i="4"/>
  <c r="P6" i="4" s="1"/>
  <c r="P3" i="13"/>
  <c r="I17" i="13"/>
  <c r="G3" i="13"/>
  <c r="G6" i="13" s="1"/>
  <c r="N17" i="13"/>
  <c r="N17" i="4"/>
  <c r="U15" i="8"/>
  <c r="U14" i="8" s="1"/>
  <c r="AI4" i="13"/>
  <c r="AI17" i="13" s="1"/>
  <c r="U3" i="8"/>
  <c r="U6" i="8" s="1"/>
  <c r="AI3" i="7"/>
  <c r="AA3" i="7"/>
  <c r="AA6" i="7" s="1"/>
  <c r="S3" i="7"/>
  <c r="S6" i="7" s="1"/>
  <c r="K3" i="7"/>
  <c r="K6" i="7" s="1"/>
  <c r="AI3" i="3"/>
  <c r="H6" i="5"/>
  <c r="G17" i="8"/>
  <c r="AG4" i="8"/>
  <c r="AG15" i="8" s="1"/>
  <c r="AG14" i="8" s="1"/>
  <c r="Q17" i="4"/>
  <c r="AC3" i="4"/>
  <c r="AC6" i="4" s="1"/>
  <c r="U17" i="13"/>
  <c r="Q15" i="13"/>
  <c r="Q14" i="13" s="1"/>
  <c r="K15" i="4"/>
  <c r="K14" i="4" s="1"/>
  <c r="P17" i="8"/>
  <c r="O3" i="8"/>
  <c r="O6" i="8" s="1"/>
  <c r="AH3" i="7"/>
  <c r="Z3" i="7"/>
  <c r="Z6" i="7" s="1"/>
  <c r="R3" i="7"/>
  <c r="R6" i="7" s="1"/>
  <c r="I3" i="7"/>
  <c r="I6" i="7" s="1"/>
  <c r="AH3" i="3"/>
  <c r="I17" i="8"/>
  <c r="AI4" i="8"/>
  <c r="AI17" i="8" s="1"/>
  <c r="Y15" i="4"/>
  <c r="Y14" i="4" s="1"/>
  <c r="V3" i="4"/>
  <c r="V6" i="4" s="1"/>
  <c r="AC3" i="13"/>
  <c r="AC6" i="13" s="1"/>
  <c r="O17" i="13"/>
  <c r="AH3" i="13"/>
  <c r="Z3" i="13"/>
  <c r="Z6" i="13" s="1"/>
  <c r="AE17" i="4"/>
  <c r="F17" i="4"/>
  <c r="M15" i="8"/>
  <c r="M14" i="8" s="1"/>
  <c r="J3" i="8"/>
  <c r="J6" i="8" s="1"/>
  <c r="AG3" i="7"/>
  <c r="AG6" i="7" s="1"/>
  <c r="Y3" i="7"/>
  <c r="Y6" i="7" s="1"/>
  <c r="Q3" i="7"/>
  <c r="Q6" i="7" s="1"/>
  <c r="H3" i="7"/>
  <c r="H6" i="7" s="1"/>
  <c r="AG3" i="3"/>
  <c r="AG6" i="3" s="1"/>
  <c r="K17" i="8"/>
  <c r="AI4" i="4"/>
  <c r="AB15" i="8"/>
  <c r="AB14" i="8" s="1"/>
  <c r="E3" i="4"/>
  <c r="E6" i="4" s="1"/>
  <c r="U3" i="13"/>
  <c r="U6" i="13" s="1"/>
  <c r="H17" i="8"/>
  <c r="AF3" i="7"/>
  <c r="AF6" i="7" s="1"/>
  <c r="X3" i="7"/>
  <c r="X6" i="7" s="1"/>
  <c r="P3" i="7"/>
  <c r="P6" i="7" s="1"/>
  <c r="C175" i="1"/>
  <c r="D19" i="2" s="1"/>
  <c r="E6" i="37" s="1"/>
  <c r="B67" i="1"/>
  <c r="E2" i="4"/>
  <c r="B2" i="39"/>
  <c r="E2" i="11"/>
  <c r="B2" i="41"/>
  <c r="E2" i="13"/>
  <c r="E2" i="8"/>
  <c r="B2" i="36"/>
  <c r="B64" i="1"/>
  <c r="E2" i="3"/>
  <c r="E2" i="12"/>
  <c r="B2" i="38"/>
  <c r="E2" i="9"/>
  <c r="E2" i="2"/>
  <c r="B66" i="1"/>
  <c r="AJ13" i="5"/>
  <c r="J19" i="18"/>
  <c r="AI15" i="13" s="1"/>
  <c r="AI14" i="13" s="1"/>
  <c r="H17" i="18"/>
  <c r="H18" i="18" s="1"/>
  <c r="H19" i="18" s="1"/>
  <c r="H20" i="18" s="1"/>
  <c r="H21" i="18" s="1"/>
  <c r="H22" i="18" s="1"/>
  <c r="H23" i="18" s="1"/>
  <c r="H24" i="18" s="1"/>
  <c r="H25" i="18" s="1"/>
  <c r="H26" i="18" s="1"/>
  <c r="H27" i="18" s="1"/>
  <c r="J12" i="18"/>
  <c r="AF15" i="6" s="1"/>
  <c r="AF14" i="6" s="1"/>
  <c r="D73" i="1"/>
  <c r="E73" i="1" s="1"/>
  <c r="F73" i="1" s="1"/>
  <c r="AH4" i="4"/>
  <c r="AH17" i="4" s="1"/>
  <c r="O3" i="4"/>
  <c r="O6" i="4" s="1"/>
  <c r="G15" i="4"/>
  <c r="G14" i="4" s="1"/>
  <c r="O15" i="4"/>
  <c r="O14" i="4" s="1"/>
  <c r="K17" i="4"/>
  <c r="X15" i="4"/>
  <c r="X14" i="4" s="1"/>
  <c r="I3" i="4"/>
  <c r="I6" i="4" s="1"/>
  <c r="AG3" i="4"/>
  <c r="AG6" i="4" s="1"/>
  <c r="AB3" i="4"/>
  <c r="AB6" i="4" s="1"/>
  <c r="AH2" i="4"/>
  <c r="H7" i="34" s="1"/>
  <c r="AG4" i="4"/>
  <c r="M17" i="4"/>
  <c r="S3" i="4"/>
  <c r="S6" i="4" s="1"/>
  <c r="H17" i="4"/>
  <c r="P17" i="4"/>
  <c r="L15" i="4"/>
  <c r="L14" i="4" s="1"/>
  <c r="Y17" i="4"/>
  <c r="M3" i="4"/>
  <c r="M6" i="4" s="1"/>
  <c r="J3" i="4"/>
  <c r="J6" i="4" s="1"/>
  <c r="H3" i="4"/>
  <c r="H6" i="4" s="1"/>
  <c r="AE3" i="4"/>
  <c r="AE6" i="4" s="1"/>
  <c r="AB17" i="4"/>
  <c r="AB16" i="4" s="1"/>
  <c r="AD17" i="4"/>
  <c r="AE15" i="4"/>
  <c r="AE14" i="4" s="1"/>
  <c r="I15" i="4"/>
  <c r="I14" i="4" s="1"/>
  <c r="Q15" i="4"/>
  <c r="Q14" i="4" s="1"/>
  <c r="O17" i="4"/>
  <c r="Z15" i="4"/>
  <c r="Z14" i="4" s="1"/>
  <c r="Q3" i="4"/>
  <c r="Q6" i="4" s="1"/>
  <c r="N3" i="4"/>
  <c r="N6" i="4" s="1"/>
  <c r="AI3" i="4"/>
  <c r="Z17" i="4"/>
  <c r="AC15" i="4"/>
  <c r="AC14" i="4" s="1"/>
  <c r="W3" i="4"/>
  <c r="W6" i="4" s="1"/>
  <c r="J17" i="4"/>
  <c r="R17" i="4"/>
  <c r="P15" i="4"/>
  <c r="P14" i="4" s="1"/>
  <c r="AA17" i="4"/>
  <c r="R3" i="4"/>
  <c r="R6" i="4" s="1"/>
  <c r="L3" i="4"/>
  <c r="L6" i="4" s="1"/>
  <c r="V17" i="4"/>
  <c r="AA15" i="4"/>
  <c r="AA3" i="4"/>
  <c r="AA6" i="4" s="1"/>
  <c r="AD3" i="4"/>
  <c r="AD6" i="4" s="1"/>
  <c r="U15" i="4"/>
  <c r="U14" i="4" s="1"/>
  <c r="L17" i="4"/>
  <c r="T17" i="4"/>
  <c r="T15" i="4"/>
  <c r="T14" i="4" s="1"/>
  <c r="AC17" i="4"/>
  <c r="R15" i="4"/>
  <c r="R14" i="4" s="1"/>
  <c r="Y3" i="4"/>
  <c r="Y6" i="4" s="1"/>
  <c r="T3" i="4"/>
  <c r="T6" i="4" s="1"/>
  <c r="X17" i="4"/>
  <c r="W15" i="4"/>
  <c r="W14" i="4" s="1"/>
  <c r="F3" i="4"/>
  <c r="F6" i="4" s="1"/>
  <c r="AH3" i="4"/>
  <c r="E15" i="4"/>
  <c r="E14" i="4" s="1"/>
  <c r="M15" i="4"/>
  <c r="G17" i="4"/>
  <c r="V15" i="4"/>
  <c r="AD15" i="4"/>
  <c r="AD14" i="4" s="1"/>
  <c r="G3" i="4"/>
  <c r="AF3" i="4"/>
  <c r="AF6" i="4" s="1"/>
  <c r="Z3" i="4"/>
  <c r="Z6" i="4" s="1"/>
  <c r="X3" i="4"/>
  <c r="X6" i="4" s="1"/>
  <c r="J15" i="4"/>
  <c r="N15" i="4"/>
  <c r="N14" i="4" s="1"/>
  <c r="U17" i="4"/>
  <c r="AH4" i="13"/>
  <c r="V3" i="13"/>
  <c r="V6" i="13" s="1"/>
  <c r="R3" i="13"/>
  <c r="R6" i="13" s="1"/>
  <c r="AD17" i="13"/>
  <c r="AE3" i="13"/>
  <c r="AE6" i="13" s="1"/>
  <c r="K17" i="13"/>
  <c r="K3" i="13"/>
  <c r="K6" i="13" s="1"/>
  <c r="AF3" i="13"/>
  <c r="AF6" i="13" s="1"/>
  <c r="F15" i="13"/>
  <c r="F14" i="13" s="1"/>
  <c r="L3" i="13"/>
  <c r="L6" i="13" s="1"/>
  <c r="E17" i="13"/>
  <c r="AG4" i="13"/>
  <c r="H15" i="13"/>
  <c r="H14" i="13" s="1"/>
  <c r="AF17" i="13"/>
  <c r="F3" i="13"/>
  <c r="F6" i="13" s="1"/>
  <c r="G17" i="13"/>
  <c r="G15" i="13"/>
  <c r="G14" i="13" s="1"/>
  <c r="AG3" i="13"/>
  <c r="AG6" i="13" s="1"/>
  <c r="T15" i="13"/>
  <c r="T14" i="13" s="1"/>
  <c r="Y15" i="13"/>
  <c r="Y14" i="13" s="1"/>
  <c r="X15" i="13"/>
  <c r="X14" i="13" s="1"/>
  <c r="E3" i="13"/>
  <c r="E6" i="13" s="1"/>
  <c r="I15" i="13"/>
  <c r="I14" i="13" s="1"/>
  <c r="J3" i="13"/>
  <c r="J6" i="13" s="1"/>
  <c r="AI3" i="13"/>
  <c r="F17" i="13"/>
  <c r="O3" i="13"/>
  <c r="O6" i="13" s="1"/>
  <c r="AF15" i="13"/>
  <c r="AF14" i="13" s="1"/>
  <c r="M15" i="13"/>
  <c r="M14" i="13" s="1"/>
  <c r="Q3" i="13"/>
  <c r="Q6" i="13" s="1"/>
  <c r="AE17" i="13"/>
  <c r="AB17" i="13"/>
  <c r="M3" i="13"/>
  <c r="M6" i="13" s="1"/>
  <c r="E15" i="13"/>
  <c r="E14" i="13" s="1"/>
  <c r="N3" i="13"/>
  <c r="N6" i="13" s="1"/>
  <c r="AH2" i="13"/>
  <c r="Q7" i="34" s="1"/>
  <c r="K15" i="13"/>
  <c r="K14" i="13" s="1"/>
  <c r="Z15" i="13"/>
  <c r="Z14" i="13" s="1"/>
  <c r="R17" i="13"/>
  <c r="Y17" i="13"/>
  <c r="X17" i="13"/>
  <c r="AD3" i="13"/>
  <c r="AD6" i="13" s="1"/>
  <c r="I3" i="13"/>
  <c r="I6" i="13" s="1"/>
  <c r="P15" i="13"/>
  <c r="O15" i="13"/>
  <c r="O14" i="13" s="1"/>
  <c r="S3" i="13"/>
  <c r="S6" i="13" s="1"/>
  <c r="W17" i="13"/>
  <c r="V17" i="13"/>
  <c r="X3" i="13"/>
  <c r="X6" i="13" s="1"/>
  <c r="R15" i="13"/>
  <c r="R14" i="13" s="1"/>
  <c r="AE15" i="13"/>
  <c r="AE14" i="13" s="1"/>
  <c r="Y3" i="13"/>
  <c r="Y6" i="13" s="1"/>
  <c r="Q17" i="13"/>
  <c r="S15" i="13"/>
  <c r="S14" i="13" s="1"/>
  <c r="P17" i="13"/>
  <c r="L15" i="13"/>
  <c r="L14" i="13" s="1"/>
  <c r="U15" i="13"/>
  <c r="U14" i="13" s="1"/>
  <c r="W3" i="13"/>
  <c r="W6" i="13" s="1"/>
  <c r="S17" i="13"/>
  <c r="AA15" i="13"/>
  <c r="AA14" i="13" s="1"/>
  <c r="AB3" i="13"/>
  <c r="AB6" i="13" s="1"/>
  <c r="N15" i="13"/>
  <c r="N14" i="13" s="1"/>
  <c r="H3" i="13"/>
  <c r="H6" i="13" s="1"/>
  <c r="M17" i="13"/>
  <c r="L17" i="13"/>
  <c r="V3" i="8"/>
  <c r="V6" i="8" s="1"/>
  <c r="AC3" i="8"/>
  <c r="AC6" i="8" s="1"/>
  <c r="AG3" i="8"/>
  <c r="AG6" i="8" s="1"/>
  <c r="I15" i="8"/>
  <c r="I14" i="8" s="1"/>
  <c r="Q15" i="8"/>
  <c r="Q14" i="8" s="1"/>
  <c r="Y15" i="8"/>
  <c r="Y14" i="8" s="1"/>
  <c r="P15" i="8"/>
  <c r="V15" i="8"/>
  <c r="V14" i="8" s="1"/>
  <c r="U17" i="8"/>
  <c r="G3" i="8"/>
  <c r="G6" i="8" s="1"/>
  <c r="L3" i="8"/>
  <c r="L6" i="8" s="1"/>
  <c r="P3" i="8"/>
  <c r="P6" i="8" s="1"/>
  <c r="W3" i="8"/>
  <c r="W6" i="8" s="1"/>
  <c r="J17" i="8"/>
  <c r="R17" i="8"/>
  <c r="Z17" i="8"/>
  <c r="H15" i="8"/>
  <c r="H14" i="8" s="1"/>
  <c r="R15" i="8"/>
  <c r="R14" i="8" s="1"/>
  <c r="S17" i="8"/>
  <c r="X3" i="8"/>
  <c r="X6" i="8" s="1"/>
  <c r="AD3" i="8"/>
  <c r="AD6" i="8" s="1"/>
  <c r="AH3" i="8"/>
  <c r="K15" i="8"/>
  <c r="K14" i="8" s="1"/>
  <c r="S15" i="8"/>
  <c r="S14" i="8" s="1"/>
  <c r="AA15" i="8"/>
  <c r="AA14" i="8" s="1"/>
  <c r="N15" i="8"/>
  <c r="N14" i="8" s="1"/>
  <c r="Q17" i="8"/>
  <c r="H3" i="8"/>
  <c r="H6" i="8" s="1"/>
  <c r="M3" i="8"/>
  <c r="M6" i="8" s="1"/>
  <c r="Q3" i="8"/>
  <c r="Q6" i="8" s="1"/>
  <c r="Y3" i="8"/>
  <c r="Y6" i="8" s="1"/>
  <c r="AI3" i="8"/>
  <c r="L17" i="8"/>
  <c r="T17" i="8"/>
  <c r="AB17" i="8"/>
  <c r="L15" i="8"/>
  <c r="L14" i="8" s="1"/>
  <c r="J15" i="8"/>
  <c r="J14" i="8" s="1"/>
  <c r="AE17" i="8"/>
  <c r="O17" i="8"/>
  <c r="R3" i="8"/>
  <c r="R6" i="8" s="1"/>
  <c r="Z3" i="8"/>
  <c r="Z6" i="8" s="1"/>
  <c r="AE3" i="8"/>
  <c r="AE6" i="8" s="1"/>
  <c r="E15" i="8"/>
  <c r="E14" i="8" s="1"/>
  <c r="E3" i="8"/>
  <c r="E6" i="8" s="1"/>
  <c r="I3" i="8"/>
  <c r="I6" i="8" s="1"/>
  <c r="N3" i="8"/>
  <c r="N6" i="8" s="1"/>
  <c r="S3" i="8"/>
  <c r="S6" i="8" s="1"/>
  <c r="AA3" i="8"/>
  <c r="AA6" i="8" s="1"/>
  <c r="F17" i="8"/>
  <c r="N17" i="8"/>
  <c r="V17" i="8"/>
  <c r="AD17" i="8"/>
  <c r="E17" i="8"/>
  <c r="K3" i="8"/>
  <c r="T3" i="8"/>
  <c r="T6" i="8" s="1"/>
  <c r="AB3" i="8"/>
  <c r="AB6" i="8" s="1"/>
  <c r="AF3" i="8"/>
  <c r="AF6" i="8" s="1"/>
  <c r="G15" i="8"/>
  <c r="G14" i="8" s="1"/>
  <c r="O15" i="8"/>
  <c r="O14" i="8" s="1"/>
  <c r="W15" i="8"/>
  <c r="W14" i="8" s="1"/>
  <c r="AE15" i="8"/>
  <c r="AE14" i="8" s="1"/>
  <c r="AF15" i="8"/>
  <c r="AF14" i="8" s="1"/>
  <c r="AD15" i="8"/>
  <c r="AD14" i="8" s="1"/>
  <c r="AG17" i="6"/>
  <c r="I15" i="3"/>
  <c r="I14" i="3" s="1"/>
  <c r="U17" i="3"/>
  <c r="AD17" i="3"/>
  <c r="AA15" i="3"/>
  <c r="AA14" i="3" s="1"/>
  <c r="V15" i="3"/>
  <c r="V14" i="3" s="1"/>
  <c r="T17" i="3"/>
  <c r="N17" i="6"/>
  <c r="AD17" i="6"/>
  <c r="M17" i="6"/>
  <c r="E17" i="6"/>
  <c r="S17" i="12"/>
  <c r="AC17" i="12"/>
  <c r="AC16" i="12" s="1"/>
  <c r="AH2" i="12"/>
  <c r="P7" i="34" s="1"/>
  <c r="M15" i="12"/>
  <c r="M14" i="12" s="1"/>
  <c r="T3" i="6"/>
  <c r="T6" i="6" s="1"/>
  <c r="N3" i="6"/>
  <c r="N6" i="6" s="1"/>
  <c r="F3" i="6"/>
  <c r="F6" i="6" s="1"/>
  <c r="J18" i="18"/>
  <c r="AD15" i="13" s="1"/>
  <c r="AD14" i="13" s="1"/>
  <c r="M15" i="3"/>
  <c r="M14" i="3" s="1"/>
  <c r="M17" i="3"/>
  <c r="AE15" i="3"/>
  <c r="AE14" i="3" s="1"/>
  <c r="E17" i="12"/>
  <c r="AD15" i="3"/>
  <c r="AD14" i="3" s="1"/>
  <c r="P17" i="3"/>
  <c r="O15" i="6"/>
  <c r="O14" i="6" s="1"/>
  <c r="AE15" i="6"/>
  <c r="AE14" i="6" s="1"/>
  <c r="AE17" i="6"/>
  <c r="U17" i="6"/>
  <c r="L15" i="6"/>
  <c r="L14" i="6" s="1"/>
  <c r="T15" i="12"/>
  <c r="T14" i="12" s="1"/>
  <c r="AD15" i="12"/>
  <c r="AD14" i="12" s="1"/>
  <c r="I15" i="12"/>
  <c r="I14" i="12" s="1"/>
  <c r="I18" i="12" s="1"/>
  <c r="V3" i="12"/>
  <c r="V6" i="12" s="1"/>
  <c r="F3" i="12"/>
  <c r="F6" i="12" s="1"/>
  <c r="AE3" i="6"/>
  <c r="AE6" i="6" s="1"/>
  <c r="Z3" i="6"/>
  <c r="Z6" i="6" s="1"/>
  <c r="S3" i="6"/>
  <c r="S6" i="6" s="1"/>
  <c r="M3" i="6"/>
  <c r="M6" i="6" s="1"/>
  <c r="E3" i="6"/>
  <c r="E6" i="6" s="1"/>
  <c r="I3" i="6"/>
  <c r="U15" i="3"/>
  <c r="U14" i="3" s="1"/>
  <c r="R15" i="3"/>
  <c r="R14" i="3" s="1"/>
  <c r="J17" i="3"/>
  <c r="G15" i="3"/>
  <c r="G14" i="3" s="1"/>
  <c r="Q17" i="3"/>
  <c r="H17" i="3"/>
  <c r="S15" i="6"/>
  <c r="S14" i="6" s="1"/>
  <c r="AC17" i="6"/>
  <c r="S17" i="6"/>
  <c r="J15" i="6"/>
  <c r="J14" i="6" s="1"/>
  <c r="H15" i="12"/>
  <c r="H14" i="12" s="1"/>
  <c r="X15" i="12"/>
  <c r="X14" i="12" s="1"/>
  <c r="AF15" i="12"/>
  <c r="AF14" i="12" s="1"/>
  <c r="AH3" i="12"/>
  <c r="S3" i="12"/>
  <c r="S6" i="12" s="1"/>
  <c r="AH3" i="6"/>
  <c r="X3" i="6"/>
  <c r="X6" i="6" s="1"/>
  <c r="Q3" i="6"/>
  <c r="Q6" i="6" s="1"/>
  <c r="L3" i="6"/>
  <c r="L6" i="6" s="1"/>
  <c r="AE3" i="3"/>
  <c r="AE6" i="3" s="1"/>
  <c r="V3" i="3"/>
  <c r="V6" i="3" s="1"/>
  <c r="AH2" i="3"/>
  <c r="G7" i="34" s="1"/>
  <c r="Y15" i="3"/>
  <c r="Y14" i="3" s="1"/>
  <c r="J15" i="3"/>
  <c r="J14" i="3" s="1"/>
  <c r="N17" i="3"/>
  <c r="U3" i="3"/>
  <c r="U6" i="3" s="1"/>
  <c r="K15" i="3"/>
  <c r="K14" i="3" s="1"/>
  <c r="I17" i="3"/>
  <c r="E17" i="3"/>
  <c r="F17" i="6"/>
  <c r="V17" i="6"/>
  <c r="AI4" i="6"/>
  <c r="AI17" i="6" s="1"/>
  <c r="AA17" i="6"/>
  <c r="R15" i="6"/>
  <c r="R14" i="6" s="1"/>
  <c r="I17" i="6"/>
  <c r="K17" i="12"/>
  <c r="Y17" i="12"/>
  <c r="AC3" i="6"/>
  <c r="AC6" i="6" s="1"/>
  <c r="W3" i="6"/>
  <c r="W6" i="6" s="1"/>
  <c r="K3" i="6"/>
  <c r="K6" i="6" s="1"/>
  <c r="H15" i="11"/>
  <c r="H16" i="11" s="1"/>
  <c r="AC15" i="3"/>
  <c r="AC14" i="3" s="1"/>
  <c r="R17" i="3"/>
  <c r="O15" i="3"/>
  <c r="O14" i="3" s="1"/>
  <c r="AF17" i="3"/>
  <c r="G15" i="6"/>
  <c r="G14" i="6" s="1"/>
  <c r="W15" i="6"/>
  <c r="W14" i="6" s="1"/>
  <c r="Z15" i="6"/>
  <c r="Z14" i="6" s="1"/>
  <c r="Q17" i="6"/>
  <c r="H15" i="6"/>
  <c r="H14" i="6" s="1"/>
  <c r="L15" i="12"/>
  <c r="L14" i="12" s="1"/>
  <c r="Z15" i="12"/>
  <c r="Z14" i="12" s="1"/>
  <c r="AD3" i="12"/>
  <c r="AD6" i="12" s="1"/>
  <c r="N3" i="12"/>
  <c r="N6" i="12" s="1"/>
  <c r="AG3" i="6"/>
  <c r="AG6" i="6" s="1"/>
  <c r="P3" i="6"/>
  <c r="P6" i="6" s="1"/>
  <c r="J3" i="6"/>
  <c r="J6" i="6" s="1"/>
  <c r="Y3" i="3"/>
  <c r="Y6" i="3" s="1"/>
  <c r="AE15" i="12"/>
  <c r="AE14" i="12" s="1"/>
  <c r="Q3" i="3"/>
  <c r="Q6" i="3" s="1"/>
  <c r="V17" i="3"/>
  <c r="S15" i="3"/>
  <c r="S14" i="3" s="1"/>
  <c r="M3" i="3"/>
  <c r="M6" i="3" s="1"/>
  <c r="F17" i="3"/>
  <c r="J17" i="6"/>
  <c r="Z17" i="6"/>
  <c r="AH4" i="6"/>
  <c r="Y17" i="6"/>
  <c r="P15" i="6"/>
  <c r="P16" i="6" s="1"/>
  <c r="G17" i="6"/>
  <c r="O17" i="12"/>
  <c r="AA17" i="12"/>
  <c r="U15" i="12"/>
  <c r="U14" i="12" s="1"/>
  <c r="AB3" i="6"/>
  <c r="AB6" i="6" s="1"/>
  <c r="V3" i="6"/>
  <c r="V6" i="6" s="1"/>
  <c r="Q17" i="12"/>
  <c r="H8" i="34"/>
  <c r="R22" i="34"/>
  <c r="T22" i="34"/>
  <c r="B9" i="14"/>
  <c r="AJ13" i="4"/>
  <c r="H40" i="4"/>
  <c r="AJ13" i="3"/>
  <c r="AJ13" i="2"/>
  <c r="H40" i="2"/>
  <c r="C177" i="1"/>
  <c r="P12" i="17"/>
  <c r="E24" i="1" s="1"/>
  <c r="F18" i="17" s="1"/>
  <c r="D22" i="2" s="1"/>
  <c r="G6" i="37" s="1"/>
  <c r="J17" i="18"/>
  <c r="AC15" i="13" s="1"/>
  <c r="J13" i="18"/>
  <c r="J10" i="18"/>
  <c r="N15" i="5" s="1"/>
  <c r="N14" i="5" s="1"/>
  <c r="H9" i="18"/>
  <c r="H10" i="18" s="1"/>
  <c r="J8" i="18"/>
  <c r="J15" i="5" s="1"/>
  <c r="J14" i="5" s="1"/>
  <c r="J6" i="18"/>
  <c r="K6" i="18" s="1"/>
  <c r="AI17" i="11"/>
  <c r="AI15" i="11"/>
  <c r="AI14" i="11" s="1"/>
  <c r="E15" i="7"/>
  <c r="E14" i="7" s="1"/>
  <c r="M15" i="5"/>
  <c r="F15" i="2"/>
  <c r="F14" i="2" s="1"/>
  <c r="N12" i="17"/>
  <c r="Q15" i="5"/>
  <c r="E15" i="9"/>
  <c r="E14" i="9" s="1"/>
  <c r="K181" i="1"/>
  <c r="I101" i="1"/>
  <c r="L6" i="14"/>
  <c r="K19" i="14"/>
  <c r="K22" i="14" s="1"/>
  <c r="K178" i="1"/>
  <c r="K174" i="1"/>
  <c r="I95" i="1"/>
  <c r="I91" i="1"/>
  <c r="L8" i="17"/>
  <c r="I94" i="1"/>
  <c r="I93" i="1"/>
  <c r="I89" i="1"/>
  <c r="B33" i="2"/>
  <c r="AK33" i="2" s="1"/>
  <c r="B33" i="3"/>
  <c r="AK33" i="3" s="1"/>
  <c r="T13" i="17"/>
  <c r="B32" i="13"/>
  <c r="B32" i="5"/>
  <c r="K177" i="1"/>
  <c r="T6" i="14"/>
  <c r="B32" i="12"/>
  <c r="B32" i="4"/>
  <c r="N5" i="14"/>
  <c r="C180" i="1"/>
  <c r="D31" i="2" s="1"/>
  <c r="I90" i="1"/>
  <c r="E49" i="1"/>
  <c r="F49" i="1" s="1"/>
  <c r="I49" i="1" s="1"/>
  <c r="B32" i="10"/>
  <c r="B32" i="2"/>
  <c r="K180" i="1"/>
  <c r="L19" i="14"/>
  <c r="L22" i="14" s="1"/>
  <c r="B32" i="9"/>
  <c r="K183" i="1"/>
  <c r="K179" i="1"/>
  <c r="K176" i="1"/>
  <c r="B32" i="8"/>
  <c r="G89" i="1"/>
  <c r="G90" i="1" s="1"/>
  <c r="G91" i="1" s="1"/>
  <c r="G92" i="1" s="1"/>
  <c r="G93" i="1" s="1"/>
  <c r="G94" i="1" s="1"/>
  <c r="G95" i="1" s="1"/>
  <c r="G96" i="1" s="1"/>
  <c r="G97" i="1" s="1"/>
  <c r="G98" i="1" s="1"/>
  <c r="G99" i="1" s="1"/>
  <c r="G100" i="1" s="1"/>
  <c r="G101" i="1" s="1"/>
  <c r="K185" i="1"/>
  <c r="K175" i="1"/>
  <c r="I99" i="1"/>
  <c r="AK32" i="2"/>
  <c r="D32" i="3" s="1"/>
  <c r="AK32" i="3" s="1"/>
  <c r="D32" i="4" s="1"/>
  <c r="AK32" i="4" s="1"/>
  <c r="D32" i="5" s="1"/>
  <c r="AK32" i="5" s="1"/>
  <c r="D32" i="6" s="1"/>
  <c r="AK32" i="6" s="1"/>
  <c r="D32" i="7" s="1"/>
  <c r="AK32" i="7" s="1"/>
  <c r="D32" i="8" s="1"/>
  <c r="AK32" i="8" s="1"/>
  <c r="D32" i="9" s="1"/>
  <c r="AK32" i="9" s="1"/>
  <c r="D32" i="10" s="1"/>
  <c r="AK32" i="10" s="1"/>
  <c r="D32" i="11" s="1"/>
  <c r="AK32" i="11" s="1"/>
  <c r="D32" i="12" s="1"/>
  <c r="AK32" i="12" s="1"/>
  <c r="D32" i="13" s="1"/>
  <c r="AK32" i="13" s="1"/>
  <c r="I92" i="1"/>
  <c r="B57" i="22"/>
  <c r="R35" i="17"/>
  <c r="T21" i="17" s="1"/>
  <c r="T35" i="17"/>
  <c r="R32" i="17"/>
  <c r="T18" i="17" s="1"/>
  <c r="B34" i="3"/>
  <c r="B34" i="9"/>
  <c r="B34" i="12"/>
  <c r="B34" i="6"/>
  <c r="B34" i="4"/>
  <c r="B34" i="10"/>
  <c r="B34" i="2"/>
  <c r="AK34" i="2" s="1"/>
  <c r="D34" i="3" s="1"/>
  <c r="B34" i="8"/>
  <c r="B34" i="7"/>
  <c r="B34" i="13"/>
  <c r="B34" i="5"/>
  <c r="B34" i="11"/>
  <c r="B31" i="6"/>
  <c r="B31" i="10"/>
  <c r="B31" i="4"/>
  <c r="B31" i="5"/>
  <c r="B31" i="7"/>
  <c r="B31" i="8"/>
  <c r="B31" i="2"/>
  <c r="B31" i="13"/>
  <c r="B31" i="3"/>
  <c r="B31" i="9"/>
  <c r="B31" i="11"/>
  <c r="B31" i="12"/>
  <c r="R28" i="17"/>
  <c r="T14" i="17" s="1"/>
  <c r="T28" i="17"/>
  <c r="R34" i="17"/>
  <c r="T34" i="17" s="1"/>
  <c r="R30" i="17"/>
  <c r="T16" i="17" s="1"/>
  <c r="T30" i="17"/>
  <c r="N6" i="14"/>
  <c r="I97" i="1"/>
  <c r="T29" i="17"/>
  <c r="T31" i="17"/>
  <c r="B33" i="6"/>
  <c r="B33" i="4"/>
  <c r="AK33" i="4" s="1"/>
  <c r="I88" i="1"/>
  <c r="J88" i="1" s="1"/>
  <c r="B33" i="10"/>
  <c r="AK33" i="10" s="1"/>
  <c r="R33" i="17"/>
  <c r="T19" i="17" s="1"/>
  <c r="B33" i="12"/>
  <c r="AK33" i="12" s="1"/>
  <c r="B33" i="11"/>
  <c r="AK33" i="11" s="1"/>
  <c r="B33" i="9"/>
  <c r="AK33" i="9" s="1"/>
  <c r="B33" i="13"/>
  <c r="AK33" i="13" s="1"/>
  <c r="B33" i="8"/>
  <c r="AK33" i="8" s="1"/>
  <c r="B33" i="7"/>
  <c r="B33" i="5"/>
  <c r="AK33" i="5" s="1"/>
  <c r="D33" i="6" s="1"/>
  <c r="AI88" i="22"/>
  <c r="AI87" i="22"/>
  <c r="AJ86" i="22"/>
  <c r="AH38" i="22"/>
  <c r="T26" i="17"/>
  <c r="AB14" i="4"/>
  <c r="F15" i="5" l="1"/>
  <c r="F14" i="5" s="1"/>
  <c r="F18" i="5" s="1"/>
  <c r="F18" i="10"/>
  <c r="E18" i="10"/>
  <c r="Q18" i="9"/>
  <c r="H18" i="6"/>
  <c r="G18" i="9"/>
  <c r="R18" i="9"/>
  <c r="I18" i="11"/>
  <c r="S18" i="11"/>
  <c r="X18" i="7"/>
  <c r="L18" i="12"/>
  <c r="AG18" i="2"/>
  <c r="G18" i="11"/>
  <c r="K18" i="11"/>
  <c r="J18" i="9"/>
  <c r="V18" i="10"/>
  <c r="AA18" i="13"/>
  <c r="M6" i="10"/>
  <c r="K18" i="9"/>
  <c r="E18" i="4"/>
  <c r="U18" i="7"/>
  <c r="AI15" i="2"/>
  <c r="AI16" i="2" s="1"/>
  <c r="T18" i="9"/>
  <c r="H18" i="5"/>
  <c r="O18" i="6"/>
  <c r="AF18" i="8"/>
  <c r="J18" i="12"/>
  <c r="AA18" i="10"/>
  <c r="Q18" i="2"/>
  <c r="N16" i="11"/>
  <c r="N85" i="11" s="1"/>
  <c r="L18" i="11"/>
  <c r="AB16" i="11"/>
  <c r="AB85" i="11" s="1"/>
  <c r="M15" i="7"/>
  <c r="M14" i="7" s="1"/>
  <c r="M18" i="7" s="1"/>
  <c r="AG15" i="6"/>
  <c r="AG14" i="6" s="1"/>
  <c r="AG18" i="6" s="1"/>
  <c r="F13" i="34"/>
  <c r="G18" i="2"/>
  <c r="AI18" i="13"/>
  <c r="W18" i="10"/>
  <c r="W18" i="5"/>
  <c r="O18" i="10"/>
  <c r="AF18" i="12"/>
  <c r="Y18" i="8"/>
  <c r="Y18" i="7"/>
  <c r="H18" i="8"/>
  <c r="AF18" i="5"/>
  <c r="K16" i="2"/>
  <c r="J18" i="3"/>
  <c r="J18" i="5"/>
  <c r="U18" i="2"/>
  <c r="R18" i="12"/>
  <c r="S18" i="3"/>
  <c r="F18" i="9"/>
  <c r="AB18" i="12"/>
  <c r="P18" i="12"/>
  <c r="AD18" i="10"/>
  <c r="P16" i="5"/>
  <c r="V16" i="7"/>
  <c r="H16" i="9"/>
  <c r="H85" i="9" s="1"/>
  <c r="H18" i="12"/>
  <c r="Y18" i="10"/>
  <c r="U15" i="5"/>
  <c r="U14" i="5" s="1"/>
  <c r="U18" i="5" s="1"/>
  <c r="I18" i="10"/>
  <c r="N18" i="5"/>
  <c r="S18" i="2"/>
  <c r="U18" i="10"/>
  <c r="J18" i="10"/>
  <c r="M18" i="11"/>
  <c r="AB18" i="9"/>
  <c r="T18" i="5"/>
  <c r="AH15" i="8"/>
  <c r="AH14" i="8" s="1"/>
  <c r="AH18" i="8" s="1"/>
  <c r="I18" i="2"/>
  <c r="Z18" i="5"/>
  <c r="O18" i="3"/>
  <c r="AI15" i="9"/>
  <c r="AI14" i="9" s="1"/>
  <c r="AI18" i="9" s="1"/>
  <c r="W18" i="11"/>
  <c r="AB18" i="7"/>
  <c r="N18" i="9"/>
  <c r="M18" i="9"/>
  <c r="AD18" i="5"/>
  <c r="AB18" i="11"/>
  <c r="F18" i="11"/>
  <c r="AD16" i="10"/>
  <c r="J18" i="2"/>
  <c r="V18" i="7"/>
  <c r="N18" i="11"/>
  <c r="AE18" i="9"/>
  <c r="P18" i="5"/>
  <c r="E18" i="11"/>
  <c r="AB18" i="2"/>
  <c r="X18" i="11"/>
  <c r="T18" i="6"/>
  <c r="P18" i="10"/>
  <c r="T18" i="10"/>
  <c r="Y15" i="5"/>
  <c r="Y14" i="5" s="1"/>
  <c r="Y18" i="5" s="1"/>
  <c r="M18" i="2"/>
  <c r="D18" i="17"/>
  <c r="J9" i="39" s="1"/>
  <c r="F18" i="6"/>
  <c r="S18" i="7"/>
  <c r="R18" i="11"/>
  <c r="U18" i="11"/>
  <c r="M18" i="12"/>
  <c r="Z16" i="7"/>
  <c r="L18" i="7"/>
  <c r="R18" i="7"/>
  <c r="AD16" i="11"/>
  <c r="Z16" i="2"/>
  <c r="Z85" i="2" s="1"/>
  <c r="AB18" i="5"/>
  <c r="Y18" i="9"/>
  <c r="AE18" i="11"/>
  <c r="AF18" i="11"/>
  <c r="K18" i="6"/>
  <c r="Z18" i="10"/>
  <c r="K16" i="11"/>
  <c r="K85" i="11" s="1"/>
  <c r="O18" i="11"/>
  <c r="N16" i="2"/>
  <c r="N85" i="2" s="1"/>
  <c r="T16" i="11"/>
  <c r="T85" i="11" s="1"/>
  <c r="AA16" i="9"/>
  <c r="AA85" i="9" s="1"/>
  <c r="AE16" i="10"/>
  <c r="L16" i="5"/>
  <c r="H16" i="2"/>
  <c r="H85" i="2" s="1"/>
  <c r="L18" i="9"/>
  <c r="S16" i="2"/>
  <c r="S85" i="2" s="1"/>
  <c r="AE16" i="9"/>
  <c r="AE85" i="9" s="1"/>
  <c r="U16" i="9"/>
  <c r="U85" i="9" s="1"/>
  <c r="P16" i="10"/>
  <c r="F16" i="10"/>
  <c r="R16" i="2"/>
  <c r="R85" i="2" s="1"/>
  <c r="V16" i="9"/>
  <c r="V85" i="9" s="1"/>
  <c r="Z16" i="11"/>
  <c r="Z85" i="11" s="1"/>
  <c r="X16" i="2"/>
  <c r="X85" i="2" s="1"/>
  <c r="AA16" i="11"/>
  <c r="AA85" i="11" s="1"/>
  <c r="K18" i="10"/>
  <c r="AG16" i="9"/>
  <c r="AG85" i="9" s="1"/>
  <c r="L16" i="2"/>
  <c r="L85" i="2" s="1"/>
  <c r="AA18" i="6"/>
  <c r="AA16" i="10"/>
  <c r="AB16" i="2"/>
  <c r="AB85" i="2" s="1"/>
  <c r="E16" i="11"/>
  <c r="E85" i="11" s="1"/>
  <c r="S16" i="11"/>
  <c r="S85" i="11" s="1"/>
  <c r="P18" i="9"/>
  <c r="G16" i="5"/>
  <c r="AC16" i="5"/>
  <c r="J16" i="11"/>
  <c r="J85" i="11" s="1"/>
  <c r="O16" i="5"/>
  <c r="AA16" i="5"/>
  <c r="AC16" i="10"/>
  <c r="V18" i="9"/>
  <c r="P16" i="9"/>
  <c r="P85" i="9" s="1"/>
  <c r="AE16" i="11"/>
  <c r="AE85" i="11" s="1"/>
  <c r="E16" i="10"/>
  <c r="M16" i="10"/>
  <c r="AF16" i="2"/>
  <c r="AF85" i="2" s="1"/>
  <c r="AH16" i="11"/>
  <c r="AH85" i="11" s="1"/>
  <c r="I16" i="10"/>
  <c r="R16" i="10"/>
  <c r="X16" i="11"/>
  <c r="X85" i="11" s="1"/>
  <c r="L16" i="10"/>
  <c r="F16" i="11"/>
  <c r="F85" i="11" s="1"/>
  <c r="U16" i="10"/>
  <c r="Y16" i="2"/>
  <c r="Y85" i="2" s="1"/>
  <c r="J16" i="9"/>
  <c r="J85" i="9" s="1"/>
  <c r="W16" i="10"/>
  <c r="AF16" i="9"/>
  <c r="AF85" i="9" s="1"/>
  <c r="O16" i="9"/>
  <c r="O85" i="9" s="1"/>
  <c r="Q16" i="10"/>
  <c r="S16" i="10"/>
  <c r="AC16" i="11"/>
  <c r="AC85" i="11" s="1"/>
  <c r="AC18" i="11"/>
  <c r="O16" i="10"/>
  <c r="L16" i="3"/>
  <c r="N16" i="9"/>
  <c r="N85" i="9" s="1"/>
  <c r="M16" i="11"/>
  <c r="M85" i="11" s="1"/>
  <c r="S18" i="12"/>
  <c r="W18" i="9"/>
  <c r="H16" i="10"/>
  <c r="I16" i="6"/>
  <c r="V16" i="11"/>
  <c r="V85" i="11" s="1"/>
  <c r="AF16" i="10"/>
  <c r="V16" i="10"/>
  <c r="N18" i="2"/>
  <c r="F16" i="9"/>
  <c r="F85" i="9" s="1"/>
  <c r="W16" i="5"/>
  <c r="AB16" i="12"/>
  <c r="P18" i="11"/>
  <c r="O16" i="2"/>
  <c r="O85" i="2" s="1"/>
  <c r="G14" i="10"/>
  <c r="G18" i="10" s="1"/>
  <c r="G16" i="10"/>
  <c r="X14" i="9"/>
  <c r="X18" i="9" s="1"/>
  <c r="X16" i="9"/>
  <c r="P14" i="2"/>
  <c r="P18" i="2" s="1"/>
  <c r="P16" i="2"/>
  <c r="AA18" i="9"/>
  <c r="AG17" i="5"/>
  <c r="AG15" i="5"/>
  <c r="AG14" i="5" s="1"/>
  <c r="AG18" i="5" s="1"/>
  <c r="AJ17" i="2"/>
  <c r="F16" i="34" s="1"/>
  <c r="AG16" i="2"/>
  <c r="AG85" i="2" s="1"/>
  <c r="AE14" i="2"/>
  <c r="AE18" i="2" s="1"/>
  <c r="AE16" i="2"/>
  <c r="T18" i="2"/>
  <c r="G16" i="11"/>
  <c r="G85" i="11" s="1"/>
  <c r="AG17" i="10"/>
  <c r="AG15" i="10"/>
  <c r="AG14" i="10" s="1"/>
  <c r="L18" i="10"/>
  <c r="AC14" i="9"/>
  <c r="AC18" i="9" s="1"/>
  <c r="AC16" i="9"/>
  <c r="AG17" i="7"/>
  <c r="AG15" i="7"/>
  <c r="AG14" i="7" s="1"/>
  <c r="Z18" i="2"/>
  <c r="M16" i="2"/>
  <c r="M85" i="2" s="1"/>
  <c r="N6" i="11"/>
  <c r="O3" i="34"/>
  <c r="O6" i="34" s="1"/>
  <c r="J16" i="2"/>
  <c r="J85" i="2" s="1"/>
  <c r="H18" i="10"/>
  <c r="AH15" i="2"/>
  <c r="AH14" i="2" s="1"/>
  <c r="AH18" i="2" s="1"/>
  <c r="V16" i="2"/>
  <c r="V14" i="2"/>
  <c r="V18" i="2" s="1"/>
  <c r="Z16" i="10"/>
  <c r="E18" i="7"/>
  <c r="U18" i="13"/>
  <c r="AF18" i="2"/>
  <c r="H18" i="2"/>
  <c r="L18" i="5"/>
  <c r="AH18" i="11"/>
  <c r="Y16" i="10"/>
  <c r="G16" i="2"/>
  <c r="G85" i="2" s="1"/>
  <c r="P16" i="11"/>
  <c r="P85" i="11" s="1"/>
  <c r="T16" i="5"/>
  <c r="W18" i="4"/>
  <c r="Q18" i="4"/>
  <c r="O18" i="2"/>
  <c r="AF18" i="9"/>
  <c r="AD16" i="5"/>
  <c r="W16" i="11"/>
  <c r="W85" i="11" s="1"/>
  <c r="H18" i="9"/>
  <c r="Q16" i="9"/>
  <c r="Q85" i="9" s="1"/>
  <c r="T16" i="10"/>
  <c r="V7" i="34"/>
  <c r="AF14" i="7"/>
  <c r="AF18" i="7" s="1"/>
  <c r="AF16" i="7"/>
  <c r="AD18" i="7"/>
  <c r="Q18" i="10"/>
  <c r="AB14" i="10"/>
  <c r="AB18" i="10" s="1"/>
  <c r="AB16" i="10"/>
  <c r="AB16" i="9"/>
  <c r="AB85" i="9" s="1"/>
  <c r="J16" i="10"/>
  <c r="S18" i="10"/>
  <c r="R16" i="11"/>
  <c r="R85" i="11" s="1"/>
  <c r="AD18" i="12"/>
  <c r="M18" i="10"/>
  <c r="W18" i="12"/>
  <c r="T16" i="6"/>
  <c r="AF16" i="11"/>
  <c r="AF85" i="11" s="1"/>
  <c r="AA18" i="3"/>
  <c r="AG15" i="11"/>
  <c r="AG14" i="11" s="1"/>
  <c r="AG18" i="11" s="1"/>
  <c r="AD16" i="2"/>
  <c r="AD14" i="2"/>
  <c r="AD18" i="2" s="1"/>
  <c r="AA18" i="2"/>
  <c r="X18" i="5"/>
  <c r="AC18" i="12"/>
  <c r="W16" i="2"/>
  <c r="W85" i="2" s="1"/>
  <c r="AD14" i="11"/>
  <c r="AD18" i="11" s="1"/>
  <c r="T14" i="7"/>
  <c r="T18" i="7" s="1"/>
  <c r="T16" i="7"/>
  <c r="Y16" i="11"/>
  <c r="Y85" i="11" s="1"/>
  <c r="S18" i="9"/>
  <c r="K16" i="10"/>
  <c r="L18" i="6"/>
  <c r="AA18" i="11"/>
  <c r="AI15" i="5"/>
  <c r="AI14" i="5" s="1"/>
  <c r="AI17" i="5"/>
  <c r="AI18" i="5"/>
  <c r="U16" i="11"/>
  <c r="U85" i="11" s="1"/>
  <c r="G18" i="5"/>
  <c r="Y16" i="12"/>
  <c r="H16" i="7"/>
  <c r="AE18" i="10"/>
  <c r="AD16" i="9"/>
  <c r="AD85" i="9" s="1"/>
  <c r="G18" i="7"/>
  <c r="I16" i="2"/>
  <c r="I85" i="2" s="1"/>
  <c r="L18" i="2"/>
  <c r="AF18" i="6"/>
  <c r="K14" i="2"/>
  <c r="K18" i="2" s="1"/>
  <c r="W18" i="6"/>
  <c r="R18" i="6"/>
  <c r="W16" i="13"/>
  <c r="W85" i="13" s="1"/>
  <c r="X18" i="10"/>
  <c r="U18" i="12"/>
  <c r="AI15" i="3"/>
  <c r="AI14" i="3" s="1"/>
  <c r="AI18" i="3" s="1"/>
  <c r="N16" i="6"/>
  <c r="AH15" i="5"/>
  <c r="AH14" i="5" s="1"/>
  <c r="AH18" i="5" s="1"/>
  <c r="Z16" i="9"/>
  <c r="Z85" i="9" s="1"/>
  <c r="U16" i="2"/>
  <c r="U85" i="2" s="1"/>
  <c r="F3" i="34"/>
  <c r="F6" i="34" s="1"/>
  <c r="E6" i="2"/>
  <c r="M16" i="9"/>
  <c r="M85" i="9" s="1"/>
  <c r="AF16" i="5"/>
  <c r="AE18" i="12"/>
  <c r="I18" i="4"/>
  <c r="R18" i="10"/>
  <c r="AB16" i="5"/>
  <c r="AG17" i="12"/>
  <c r="AG18" i="12" s="1"/>
  <c r="N16" i="10"/>
  <c r="I16" i="11"/>
  <c r="I85" i="11" s="1"/>
  <c r="L16" i="9"/>
  <c r="L85" i="9" s="1"/>
  <c r="O18" i="9"/>
  <c r="W18" i="13"/>
  <c r="AD16" i="7"/>
  <c r="U18" i="9"/>
  <c r="AA18" i="8"/>
  <c r="O18" i="5"/>
  <c r="AH15" i="3"/>
  <c r="AH14" i="3" s="1"/>
  <c r="AH18" i="3" s="1"/>
  <c r="W18" i="8"/>
  <c r="Y18" i="11"/>
  <c r="AC16" i="2"/>
  <c r="AC85" i="2" s="1"/>
  <c r="X18" i="12"/>
  <c r="Y16" i="9"/>
  <c r="Y85" i="9" s="1"/>
  <c r="G18" i="8"/>
  <c r="G16" i="9"/>
  <c r="G85" i="9" s="1"/>
  <c r="R16" i="9"/>
  <c r="R85" i="9" s="1"/>
  <c r="P16" i="3"/>
  <c r="M18" i="8"/>
  <c r="Z16" i="5"/>
  <c r="Q16" i="2"/>
  <c r="Q85" i="2" s="1"/>
  <c r="AF18" i="3"/>
  <c r="M3" i="34"/>
  <c r="M6" i="34" s="1"/>
  <c r="L6" i="9"/>
  <c r="H16" i="5"/>
  <c r="N16" i="7"/>
  <c r="Q16" i="11"/>
  <c r="Q85" i="11" s="1"/>
  <c r="AG17" i="8"/>
  <c r="AG18" i="8" s="1"/>
  <c r="AE18" i="3"/>
  <c r="AG17" i="3"/>
  <c r="AG16" i="3" s="1"/>
  <c r="W18" i="7"/>
  <c r="S16" i="9"/>
  <c r="S85" i="9" s="1"/>
  <c r="H16" i="3"/>
  <c r="I16" i="9"/>
  <c r="I85" i="9" s="1"/>
  <c r="L16" i="11"/>
  <c r="L85" i="11" s="1"/>
  <c r="T16" i="2"/>
  <c r="T85" i="2" s="1"/>
  <c r="AC18" i="3"/>
  <c r="AB16" i="7"/>
  <c r="AH17" i="9"/>
  <c r="AJ17" i="9" s="1"/>
  <c r="M16" i="34" s="1"/>
  <c r="I18" i="8"/>
  <c r="R18" i="2"/>
  <c r="Y18" i="3"/>
  <c r="AC18" i="5"/>
  <c r="X16" i="5"/>
  <c r="X18" i="2"/>
  <c r="G18" i="12"/>
  <c r="X16" i="7"/>
  <c r="W16" i="12"/>
  <c r="K16" i="9"/>
  <c r="K85" i="9" s="1"/>
  <c r="M16" i="5"/>
  <c r="AJ17" i="11"/>
  <c r="O16" i="34" s="1"/>
  <c r="AF18" i="10"/>
  <c r="G18" i="3"/>
  <c r="AA18" i="5"/>
  <c r="AH17" i="10"/>
  <c r="AH15" i="10"/>
  <c r="AH14" i="10" s="1"/>
  <c r="AH18" i="10" s="1"/>
  <c r="O16" i="11"/>
  <c r="O85" i="11" s="1"/>
  <c r="W16" i="9"/>
  <c r="W85" i="9" s="1"/>
  <c r="AE16" i="5"/>
  <c r="Z14" i="7"/>
  <c r="Z18" i="7" s="1"/>
  <c r="K18" i="3"/>
  <c r="T18" i="12"/>
  <c r="AD18" i="13"/>
  <c r="N18" i="13"/>
  <c r="I18" i="7"/>
  <c r="W18" i="2"/>
  <c r="AA16" i="2"/>
  <c r="AA85" i="2" s="1"/>
  <c r="P16" i="7"/>
  <c r="E18" i="3"/>
  <c r="E16" i="12"/>
  <c r="E85" i="12" s="1"/>
  <c r="AJ85" i="12" s="1"/>
  <c r="R16" i="12"/>
  <c r="P16" i="12"/>
  <c r="F16" i="3"/>
  <c r="L16" i="7"/>
  <c r="O18" i="12"/>
  <c r="O18" i="7"/>
  <c r="U7" i="34"/>
  <c r="AA18" i="7"/>
  <c r="Z18" i="3"/>
  <c r="F18" i="12"/>
  <c r="W18" i="3"/>
  <c r="L18" i="3"/>
  <c r="C54" i="22"/>
  <c r="B54" i="22"/>
  <c r="AA16" i="12"/>
  <c r="AB16" i="3"/>
  <c r="S16" i="7"/>
  <c r="U16" i="7"/>
  <c r="AA16" i="7"/>
  <c r="Y16" i="7"/>
  <c r="J16" i="12"/>
  <c r="K18" i="8"/>
  <c r="P16" i="8"/>
  <c r="K18" i="7"/>
  <c r="F16" i="6"/>
  <c r="Y18" i="4"/>
  <c r="T18" i="13"/>
  <c r="S18" i="4"/>
  <c r="AB18" i="3"/>
  <c r="T16" i="3"/>
  <c r="V18" i="12"/>
  <c r="Q18" i="7"/>
  <c r="N18" i="12"/>
  <c r="AC18" i="7"/>
  <c r="F18" i="7"/>
  <c r="AE18" i="7"/>
  <c r="K18" i="12"/>
  <c r="P18" i="3"/>
  <c r="O18" i="8"/>
  <c r="X18" i="8"/>
  <c r="S16" i="12"/>
  <c r="R18" i="8"/>
  <c r="I18" i="13"/>
  <c r="Z18" i="13"/>
  <c r="O16" i="7"/>
  <c r="G16" i="7"/>
  <c r="Q16" i="3"/>
  <c r="G73" i="1"/>
  <c r="H73" i="1" s="1"/>
  <c r="I73" i="1" s="1"/>
  <c r="E29" i="1" s="1"/>
  <c r="B23" i="7" s="1"/>
  <c r="G16" i="12"/>
  <c r="K16" i="7"/>
  <c r="T14" i="3"/>
  <c r="T18" i="3" s="1"/>
  <c r="W16" i="7"/>
  <c r="M16" i="7"/>
  <c r="I16" i="7"/>
  <c r="AC16" i="7"/>
  <c r="AI18" i="12"/>
  <c r="AI17" i="12"/>
  <c r="Z16" i="3"/>
  <c r="O18" i="13"/>
  <c r="H18" i="13"/>
  <c r="R16" i="7"/>
  <c r="V16" i="12"/>
  <c r="N16" i="12"/>
  <c r="G3" i="34"/>
  <c r="G6" i="34" s="1"/>
  <c r="F6" i="3"/>
  <c r="W16" i="3"/>
  <c r="K16" i="12"/>
  <c r="Y16" i="4"/>
  <c r="AH15" i="12"/>
  <c r="J6" i="7"/>
  <c r="K3" i="34"/>
  <c r="K6" i="34" s="1"/>
  <c r="AF15" i="4"/>
  <c r="AF14" i="4" s="1"/>
  <c r="AF18" i="4" s="1"/>
  <c r="H18" i="7"/>
  <c r="AI15" i="8"/>
  <c r="AI14" i="8" s="1"/>
  <c r="AI18" i="8" s="1"/>
  <c r="U18" i="8"/>
  <c r="AC18" i="8"/>
  <c r="AH15" i="7"/>
  <c r="AH14" i="7" s="1"/>
  <c r="AH17" i="7"/>
  <c r="AI15" i="12"/>
  <c r="AI14" i="12" s="1"/>
  <c r="P3" i="34"/>
  <c r="P6" i="34" s="1"/>
  <c r="O6" i="12"/>
  <c r="N18" i="7"/>
  <c r="AI15" i="7"/>
  <c r="AI14" i="7" s="1"/>
  <c r="AI17" i="7"/>
  <c r="X16" i="3"/>
  <c r="Q16" i="7"/>
  <c r="Q18" i="12"/>
  <c r="Z18" i="4"/>
  <c r="Q18" i="13"/>
  <c r="J18" i="13"/>
  <c r="F16" i="12"/>
  <c r="AE16" i="7"/>
  <c r="AD15" i="6"/>
  <c r="AD14" i="6" s="1"/>
  <c r="AD18" i="6" s="1"/>
  <c r="M15" i="6"/>
  <c r="M14" i="6" s="1"/>
  <c r="M18" i="6" s="1"/>
  <c r="AC16" i="13"/>
  <c r="AI17" i="10"/>
  <c r="AI15" i="10"/>
  <c r="AI14" i="10" s="1"/>
  <c r="AI18" i="10" s="1"/>
  <c r="H16" i="4"/>
  <c r="AC16" i="8"/>
  <c r="U16" i="8"/>
  <c r="X26" i="34"/>
  <c r="O9" i="38"/>
  <c r="W7" i="34"/>
  <c r="F16" i="4"/>
  <c r="Q16" i="13"/>
  <c r="Q85" i="13" s="1"/>
  <c r="J16" i="5"/>
  <c r="J16" i="3"/>
  <c r="N18" i="3"/>
  <c r="V15" i="6"/>
  <c r="V14" i="6" s="1"/>
  <c r="V18" i="6" s="1"/>
  <c r="Z16" i="8"/>
  <c r="T16" i="8"/>
  <c r="AC15" i="6"/>
  <c r="AC14" i="6" s="1"/>
  <c r="AC18" i="6" s="1"/>
  <c r="U15" i="6"/>
  <c r="U14" i="6" s="1"/>
  <c r="U18" i="6" s="1"/>
  <c r="F16" i="8"/>
  <c r="M16" i="8"/>
  <c r="X16" i="8"/>
  <c r="Z18" i="8"/>
  <c r="F16" i="7"/>
  <c r="AB16" i="8"/>
  <c r="S15" i="5"/>
  <c r="K15" i="5"/>
  <c r="AE18" i="13"/>
  <c r="V18" i="13"/>
  <c r="R16" i="8"/>
  <c r="S16" i="4"/>
  <c r="I16" i="13"/>
  <c r="I85" i="13" s="1"/>
  <c r="X16" i="10"/>
  <c r="K18" i="4"/>
  <c r="N16" i="4"/>
  <c r="N18" i="4"/>
  <c r="AH15" i="4"/>
  <c r="AH16" i="4" s="1"/>
  <c r="J16" i="13"/>
  <c r="J85" i="13" s="1"/>
  <c r="Z18" i="12"/>
  <c r="AE18" i="4"/>
  <c r="O16" i="6"/>
  <c r="P6" i="13"/>
  <c r="Q3" i="34"/>
  <c r="F18" i="4"/>
  <c r="I16" i="3"/>
  <c r="AI15" i="6"/>
  <c r="AI14" i="6" s="1"/>
  <c r="AI18" i="6" s="1"/>
  <c r="AI15" i="4"/>
  <c r="AI14" i="4" s="1"/>
  <c r="AI17" i="4"/>
  <c r="N16" i="3"/>
  <c r="AB18" i="13"/>
  <c r="AA16" i="6"/>
  <c r="AE18" i="8"/>
  <c r="J18" i="8"/>
  <c r="E18" i="13"/>
  <c r="AD18" i="4"/>
  <c r="L18" i="13"/>
  <c r="I18" i="3"/>
  <c r="H18" i="4"/>
  <c r="T18" i="4"/>
  <c r="AA18" i="12"/>
  <c r="I18" i="6"/>
  <c r="E18" i="8"/>
  <c r="AB18" i="4"/>
  <c r="G18" i="6"/>
  <c r="T18" i="8"/>
  <c r="K16" i="4"/>
  <c r="N18" i="8"/>
  <c r="K18" i="13"/>
  <c r="AD18" i="3"/>
  <c r="R7" i="34"/>
  <c r="Z18" i="6"/>
  <c r="AB18" i="8"/>
  <c r="S18" i="8"/>
  <c r="X18" i="13"/>
  <c r="AD18" i="8"/>
  <c r="AF18" i="13"/>
  <c r="H18" i="3"/>
  <c r="U18" i="3"/>
  <c r="Q18" i="8"/>
  <c r="R18" i="13"/>
  <c r="G18" i="13"/>
  <c r="F18" i="13"/>
  <c r="AF16" i="3"/>
  <c r="J16" i="4"/>
  <c r="M16" i="4"/>
  <c r="O18" i="4"/>
  <c r="Q18" i="3"/>
  <c r="J18" i="6"/>
  <c r="V18" i="3"/>
  <c r="V18" i="8"/>
  <c r="AC18" i="4"/>
  <c r="G18" i="4"/>
  <c r="P16" i="13"/>
  <c r="L18" i="4"/>
  <c r="E15" i="2"/>
  <c r="E20" i="2" s="1"/>
  <c r="F20" i="2" s="1"/>
  <c r="G20" i="2" s="1"/>
  <c r="H20" i="2" s="1"/>
  <c r="I20" i="2" s="1"/>
  <c r="J20" i="2" s="1"/>
  <c r="K20" i="2" s="1"/>
  <c r="L20" i="2" s="1"/>
  <c r="M20" i="2" s="1"/>
  <c r="N20" i="2" s="1"/>
  <c r="O20" i="2" s="1"/>
  <c r="P20" i="2" s="1"/>
  <c r="Q20" i="2" s="1"/>
  <c r="R20" i="2" s="1"/>
  <c r="S20" i="2" s="1"/>
  <c r="T20" i="2" s="1"/>
  <c r="U20" i="2" s="1"/>
  <c r="V20" i="2" s="1"/>
  <c r="W20" i="2" s="1"/>
  <c r="X20" i="2" s="1"/>
  <c r="Y20" i="2" s="1"/>
  <c r="Z20" i="2" s="1"/>
  <c r="AA20" i="2" s="1"/>
  <c r="AB20" i="2" s="1"/>
  <c r="AC20" i="2" s="1"/>
  <c r="AD20" i="2" s="1"/>
  <c r="AE20" i="2" s="1"/>
  <c r="AF20" i="2" s="1"/>
  <c r="AG20" i="2" s="1"/>
  <c r="AH20" i="2" s="1"/>
  <c r="AI20" i="2" s="1"/>
  <c r="AJ20" i="2" s="1"/>
  <c r="AK20" i="2" s="1"/>
  <c r="U16" i="4"/>
  <c r="R16" i="6"/>
  <c r="W16" i="6"/>
  <c r="M16" i="12"/>
  <c r="G16" i="6"/>
  <c r="O16" i="8"/>
  <c r="AF16" i="6"/>
  <c r="W16" i="8"/>
  <c r="I16" i="8"/>
  <c r="H14" i="11"/>
  <c r="H18" i="11" s="1"/>
  <c r="E16" i="8"/>
  <c r="S16" i="3"/>
  <c r="U16" i="13"/>
  <c r="U85" i="13" s="1"/>
  <c r="F16" i="13"/>
  <c r="F85" i="13" s="1"/>
  <c r="P14" i="6"/>
  <c r="P18" i="6" s="1"/>
  <c r="AE16" i="6"/>
  <c r="P16" i="4"/>
  <c r="S16" i="6"/>
  <c r="R16" i="13"/>
  <c r="R85" i="13" s="1"/>
  <c r="AG14" i="3"/>
  <c r="K16" i="3"/>
  <c r="J16" i="8"/>
  <c r="Q16" i="8"/>
  <c r="W16" i="4"/>
  <c r="E16" i="13"/>
  <c r="E85" i="13" s="1"/>
  <c r="AE16" i="8"/>
  <c r="AE85" i="8" s="1"/>
  <c r="L16" i="8"/>
  <c r="AE16" i="3"/>
  <c r="AE16" i="13"/>
  <c r="AE85" i="13" s="1"/>
  <c r="AF16" i="8"/>
  <c r="AF85" i="8" s="1"/>
  <c r="T16" i="13"/>
  <c r="T85" i="13" s="1"/>
  <c r="L16" i="4"/>
  <c r="L16" i="6"/>
  <c r="Y16" i="8"/>
  <c r="AB15" i="6"/>
  <c r="AB14" i="6" s="1"/>
  <c r="AB18" i="6" s="1"/>
  <c r="J15" i="7"/>
  <c r="P14" i="13"/>
  <c r="P18" i="13" s="1"/>
  <c r="AA16" i="13"/>
  <c r="AA85" i="13" s="1"/>
  <c r="I15" i="5"/>
  <c r="I16" i="5" s="1"/>
  <c r="V15" i="5"/>
  <c r="U16" i="3"/>
  <c r="Z16" i="12"/>
  <c r="O16" i="3"/>
  <c r="K16" i="8"/>
  <c r="E15" i="5"/>
  <c r="E14" i="5" s="1"/>
  <c r="E18" i="5" s="1"/>
  <c r="R15" i="5"/>
  <c r="AE16" i="4"/>
  <c r="P14" i="8"/>
  <c r="P18" i="8" s="1"/>
  <c r="T16" i="4"/>
  <c r="Z16" i="13"/>
  <c r="Z85" i="13" s="1"/>
  <c r="J16" i="6"/>
  <c r="V16" i="3"/>
  <c r="M16" i="3"/>
  <c r="H16" i="12"/>
  <c r="U18" i="4"/>
  <c r="H16" i="13"/>
  <c r="H85" i="13" s="1"/>
  <c r="AD16" i="3"/>
  <c r="G16" i="4"/>
  <c r="I16" i="4"/>
  <c r="Y16" i="3"/>
  <c r="M14" i="4"/>
  <c r="M18" i="4" s="1"/>
  <c r="H16" i="6"/>
  <c r="O16" i="13"/>
  <c r="O85" i="13" s="1"/>
  <c r="AF16" i="13"/>
  <c r="AF85" i="13" s="1"/>
  <c r="E16" i="4"/>
  <c r="AF16" i="12"/>
  <c r="R16" i="3"/>
  <c r="AC16" i="4"/>
  <c r="S16" i="8"/>
  <c r="K16" i="13"/>
  <c r="K85" i="13" s="1"/>
  <c r="N16" i="13"/>
  <c r="N85" i="13" s="1"/>
  <c r="AD16" i="8"/>
  <c r="AC14" i="13"/>
  <c r="M16" i="13"/>
  <c r="M85" i="13" s="1"/>
  <c r="Y16" i="13"/>
  <c r="Y85" i="13" s="1"/>
  <c r="G16" i="13"/>
  <c r="G85" i="13" s="1"/>
  <c r="AD16" i="12"/>
  <c r="X16" i="13"/>
  <c r="X85" i="13" s="1"/>
  <c r="S18" i="13"/>
  <c r="AA16" i="4"/>
  <c r="Q16" i="12"/>
  <c r="R18" i="3"/>
  <c r="V16" i="8"/>
  <c r="P18" i="4"/>
  <c r="V16" i="4"/>
  <c r="X18" i="4"/>
  <c r="S16" i="13"/>
  <c r="S85" i="13" s="1"/>
  <c r="Q16" i="4"/>
  <c r="R16" i="4"/>
  <c r="J14" i="4"/>
  <c r="J18" i="4" s="1"/>
  <c r="AC16" i="3"/>
  <c r="L16" i="12"/>
  <c r="T16" i="12"/>
  <c r="AA14" i="4"/>
  <c r="AA18" i="4" s="1"/>
  <c r="O16" i="4"/>
  <c r="AD16" i="13"/>
  <c r="AD85" i="13" s="1"/>
  <c r="AA16" i="3"/>
  <c r="X16" i="12"/>
  <c r="Z16" i="6"/>
  <c r="U16" i="12"/>
  <c r="AE16" i="12"/>
  <c r="N18" i="6"/>
  <c r="R18" i="4"/>
  <c r="T7" i="34"/>
  <c r="AI18" i="11"/>
  <c r="V16" i="13"/>
  <c r="V85" i="13" s="1"/>
  <c r="N16" i="8"/>
  <c r="AH15" i="13"/>
  <c r="AH14" i="13" s="1"/>
  <c r="AH17" i="13"/>
  <c r="M18" i="13"/>
  <c r="G16" i="3"/>
  <c r="L16" i="13"/>
  <c r="L85" i="13" s="1"/>
  <c r="F18" i="8"/>
  <c r="V14" i="4"/>
  <c r="V18" i="4" s="1"/>
  <c r="AA16" i="8"/>
  <c r="I16" i="12"/>
  <c r="H16" i="8"/>
  <c r="AG17" i="4"/>
  <c r="AG15" i="4"/>
  <c r="Y18" i="12"/>
  <c r="Z16" i="4"/>
  <c r="E16" i="3"/>
  <c r="K6" i="8"/>
  <c r="L3" i="34"/>
  <c r="L6" i="34" s="1"/>
  <c r="L18" i="8"/>
  <c r="X16" i="4"/>
  <c r="AH17" i="6"/>
  <c r="AH15" i="6"/>
  <c r="AH14" i="6" s="1"/>
  <c r="Y18" i="13"/>
  <c r="AG17" i="13"/>
  <c r="AG15" i="13"/>
  <c r="AG14" i="13" s="1"/>
  <c r="O16" i="12"/>
  <c r="S18" i="6"/>
  <c r="M18" i="3"/>
  <c r="AD16" i="4"/>
  <c r="J3" i="34"/>
  <c r="J6" i="34" s="1"/>
  <c r="I6" i="6"/>
  <c r="AE18" i="6"/>
  <c r="G16" i="8"/>
  <c r="G6" i="4"/>
  <c r="H3" i="34"/>
  <c r="H6" i="34" s="1"/>
  <c r="R8" i="34"/>
  <c r="H13" i="34"/>
  <c r="T8" i="34"/>
  <c r="B5" i="14"/>
  <c r="B19" i="14" s="1"/>
  <c r="B22" i="14" s="1"/>
  <c r="Z18" i="11"/>
  <c r="Y15" i="6"/>
  <c r="Q15" i="6"/>
  <c r="M14" i="5"/>
  <c r="M18" i="5" s="1"/>
  <c r="F16" i="2"/>
  <c r="F85" i="2" s="1"/>
  <c r="E16" i="9"/>
  <c r="E85" i="9" s="1"/>
  <c r="X14" i="6"/>
  <c r="X18" i="6" s="1"/>
  <c r="J18" i="11"/>
  <c r="X16" i="6"/>
  <c r="AI16" i="13"/>
  <c r="AI85" i="13" s="1"/>
  <c r="E16" i="7"/>
  <c r="E16" i="6"/>
  <c r="AD18" i="9"/>
  <c r="N16" i="5"/>
  <c r="AI16" i="11"/>
  <c r="AI85" i="11" s="1"/>
  <c r="Q14" i="5"/>
  <c r="Q18" i="5" s="1"/>
  <c r="Q16" i="5"/>
  <c r="AB16" i="13"/>
  <c r="AB85" i="13" s="1"/>
  <c r="D17" i="1"/>
  <c r="I3" i="1"/>
  <c r="T20" i="17"/>
  <c r="AK31" i="2"/>
  <c r="D31" i="3" s="1"/>
  <c r="AK31" i="3" s="1"/>
  <c r="D31" i="4" s="1"/>
  <c r="AK31" i="4" s="1"/>
  <c r="D31" i="5" s="1"/>
  <c r="AK31" i="5" s="1"/>
  <c r="D31" i="6" s="1"/>
  <c r="AK31" i="6" s="1"/>
  <c r="D31" i="7" s="1"/>
  <c r="AK31" i="7" s="1"/>
  <c r="D31" i="8" s="1"/>
  <c r="AK31" i="8" s="1"/>
  <c r="D31" i="9" s="1"/>
  <c r="AK31" i="9" s="1"/>
  <c r="D31" i="10" s="1"/>
  <c r="AK31" i="10" s="1"/>
  <c r="D31" i="11" s="1"/>
  <c r="AK31" i="11" s="1"/>
  <c r="D31" i="12" s="1"/>
  <c r="AK31" i="12" s="1"/>
  <c r="D31" i="13" s="1"/>
  <c r="AK31" i="13" s="1"/>
  <c r="N19" i="14"/>
  <c r="N22" i="14" s="1"/>
  <c r="AK22" i="2"/>
  <c r="F33" i="34" s="1"/>
  <c r="Y18" i="2"/>
  <c r="J89" i="1"/>
  <c r="J90" i="1" s="1"/>
  <c r="J91" i="1" s="1"/>
  <c r="J92" i="1" s="1"/>
  <c r="J93" i="1" s="1"/>
  <c r="J94" i="1" s="1"/>
  <c r="J95" i="1" s="1"/>
  <c r="J96" i="1" s="1"/>
  <c r="J97" i="1" s="1"/>
  <c r="J98" i="1" s="1"/>
  <c r="J99" i="1" s="1"/>
  <c r="J100" i="1" s="1"/>
  <c r="J101" i="1" s="1"/>
  <c r="AC18" i="2"/>
  <c r="Z18" i="9"/>
  <c r="V18" i="11"/>
  <c r="A187" i="1"/>
  <c r="AK34" i="3"/>
  <c r="D34" i="4" s="1"/>
  <c r="AK34" i="4" s="1"/>
  <c r="D34" i="5" s="1"/>
  <c r="AK34" i="5" s="1"/>
  <c r="D34" i="6" s="1"/>
  <c r="AK34" i="6" s="1"/>
  <c r="D34" i="7" s="1"/>
  <c r="AK34" i="7" s="1"/>
  <c r="D34" i="8" s="1"/>
  <c r="AK34" i="8" s="1"/>
  <c r="D34" i="9" s="1"/>
  <c r="AK34" i="9" s="1"/>
  <c r="D34" i="10" s="1"/>
  <c r="AK34" i="10" s="1"/>
  <c r="D34" i="11" s="1"/>
  <c r="AK34" i="11" s="1"/>
  <c r="D34" i="12" s="1"/>
  <c r="AK34" i="12" s="1"/>
  <c r="D34" i="13" s="1"/>
  <c r="AK34" i="13" s="1"/>
  <c r="B87" i="22"/>
  <c r="A34" i="22" s="1"/>
  <c r="B88" i="22"/>
  <c r="AK88" i="22" s="1"/>
  <c r="T32" i="17"/>
  <c r="T33" i="17"/>
  <c r="AK33" i="6"/>
  <c r="D33" i="7" s="1"/>
  <c r="AK33" i="7" s="1"/>
  <c r="AH33" i="22"/>
  <c r="AK87" i="22"/>
  <c r="K41" i="22" s="1"/>
  <c r="AH34" i="22"/>
  <c r="AH35" i="22"/>
  <c r="AH37" i="22"/>
  <c r="AH36" i="22"/>
  <c r="F18" i="2"/>
  <c r="T18" i="11"/>
  <c r="E18" i="9"/>
  <c r="I18" i="9"/>
  <c r="K7" i="18"/>
  <c r="K8" i="18" s="1"/>
  <c r="K9" i="18" s="1"/>
  <c r="K10" i="18" s="1"/>
  <c r="E18" i="6"/>
  <c r="P18" i="7"/>
  <c r="E18" i="12"/>
  <c r="F18" i="3"/>
  <c r="N18" i="10"/>
  <c r="F16" i="5" l="1"/>
  <c r="AG18" i="7"/>
  <c r="AI14" i="2"/>
  <c r="AI85" i="2" s="1"/>
  <c r="AG16" i="6"/>
  <c r="AJ17" i="5"/>
  <c r="I16" i="34" s="1"/>
  <c r="U16" i="5"/>
  <c r="AI16" i="9"/>
  <c r="AI85" i="9" s="1"/>
  <c r="Y16" i="5"/>
  <c r="AJ15" i="9"/>
  <c r="M19" i="34" s="1"/>
  <c r="AG16" i="8"/>
  <c r="AG85" i="8" s="1"/>
  <c r="AH16" i="8"/>
  <c r="AH85" i="8" s="1"/>
  <c r="AE85" i="2"/>
  <c r="AH16" i="5"/>
  <c r="V85" i="2"/>
  <c r="X85" i="9"/>
  <c r="AD85" i="2"/>
  <c r="AD85" i="11"/>
  <c r="AJ14" i="9"/>
  <c r="M14" i="34" s="1"/>
  <c r="AC85" i="9"/>
  <c r="P85" i="2"/>
  <c r="AG16" i="7"/>
  <c r="AJ15" i="3"/>
  <c r="G19" i="34" s="1"/>
  <c r="AG16" i="10"/>
  <c r="AH16" i="3"/>
  <c r="AI16" i="3"/>
  <c r="AI85" i="3" s="1"/>
  <c r="AJ85" i="3" s="1"/>
  <c r="S8" i="14" s="1"/>
  <c r="AJ14" i="10"/>
  <c r="N14" i="34" s="1"/>
  <c r="K85" i="2"/>
  <c r="AJ15" i="11"/>
  <c r="O19" i="34" s="1"/>
  <c r="AB22" i="34"/>
  <c r="F13" i="36" s="1"/>
  <c r="AJ17" i="3"/>
  <c r="G16" i="34" s="1"/>
  <c r="AG16" i="11"/>
  <c r="AG85" i="11" s="1"/>
  <c r="AI16" i="5"/>
  <c r="AH16" i="2"/>
  <c r="AH85" i="2" s="1"/>
  <c r="AJ17" i="8"/>
  <c r="L16" i="34" s="1"/>
  <c r="AB7" i="34"/>
  <c r="AG16" i="5"/>
  <c r="AJ17" i="12"/>
  <c r="P16" i="34" s="1"/>
  <c r="AG16" i="12"/>
  <c r="AG18" i="10"/>
  <c r="AJ18" i="10" s="1"/>
  <c r="N17" i="34" s="1"/>
  <c r="AH16" i="10"/>
  <c r="AC85" i="13"/>
  <c r="AH16" i="9"/>
  <c r="AH85" i="9" s="1"/>
  <c r="AH18" i="9"/>
  <c r="AJ18" i="9" s="1"/>
  <c r="M17" i="34" s="1"/>
  <c r="AG18" i="3"/>
  <c r="AJ18" i="3" s="1"/>
  <c r="G17" i="34" s="1"/>
  <c r="AH18" i="7"/>
  <c r="C38" i="22"/>
  <c r="Q41" i="22" s="1"/>
  <c r="C86" i="22"/>
  <c r="AI16" i="12"/>
  <c r="AF16" i="4"/>
  <c r="AI18" i="4"/>
  <c r="AI18" i="7"/>
  <c r="AJ17" i="4"/>
  <c r="H16" i="34" s="1"/>
  <c r="AC16" i="6"/>
  <c r="AD16" i="6"/>
  <c r="AI16" i="8"/>
  <c r="AI85" i="8" s="1"/>
  <c r="AH16" i="7"/>
  <c r="AH14" i="12"/>
  <c r="AH16" i="12"/>
  <c r="AJ15" i="7"/>
  <c r="K19" i="34" s="1"/>
  <c r="AI16" i="7"/>
  <c r="AI16" i="10"/>
  <c r="AJ17" i="10"/>
  <c r="N16" i="34" s="1"/>
  <c r="V16" i="34" s="1"/>
  <c r="M16" i="6"/>
  <c r="AJ15" i="8"/>
  <c r="L19" i="34" s="1"/>
  <c r="AJ15" i="12"/>
  <c r="P19" i="34" s="1"/>
  <c r="AA7" i="34"/>
  <c r="AJ15" i="10"/>
  <c r="N19" i="34" s="1"/>
  <c r="AJ17" i="7"/>
  <c r="K16" i="34" s="1"/>
  <c r="E14" i="2"/>
  <c r="X27" i="34"/>
  <c r="O10" i="38"/>
  <c r="AJ15" i="2"/>
  <c r="F19" i="34" s="1"/>
  <c r="V16" i="6"/>
  <c r="AJ14" i="3"/>
  <c r="W8" i="14" s="1"/>
  <c r="E16" i="2"/>
  <c r="U16" i="6"/>
  <c r="K14" i="5"/>
  <c r="K18" i="5" s="1"/>
  <c r="K16" i="5"/>
  <c r="S14" i="5"/>
  <c r="S18" i="5" s="1"/>
  <c r="S16" i="5"/>
  <c r="I14" i="5"/>
  <c r="I18" i="5" s="1"/>
  <c r="AH14" i="4"/>
  <c r="AH18" i="4" s="1"/>
  <c r="AI16" i="4"/>
  <c r="AA11" i="34"/>
  <c r="AA22" i="34"/>
  <c r="Q8" i="38" s="1"/>
  <c r="Y21" i="34"/>
  <c r="AA9" i="34"/>
  <c r="AA12" i="34"/>
  <c r="Y27" i="34"/>
  <c r="AB21" i="34"/>
  <c r="AB26" i="34"/>
  <c r="Y24" i="34"/>
  <c r="Y25" i="34"/>
  <c r="Y26" i="34"/>
  <c r="AA26" i="34"/>
  <c r="Q10" i="38" s="1"/>
  <c r="Y11" i="34"/>
  <c r="J27" i="39" s="1"/>
  <c r="AA21" i="34"/>
  <c r="AB25" i="34"/>
  <c r="AB12" i="34"/>
  <c r="AB11" i="34"/>
  <c r="AA27" i="34"/>
  <c r="Q11" i="38" s="1"/>
  <c r="AA23" i="34"/>
  <c r="AB23" i="34"/>
  <c r="AA24" i="34"/>
  <c r="AA25" i="34"/>
  <c r="Q9" i="38" s="1"/>
  <c r="AB9" i="34"/>
  <c r="Q6" i="34"/>
  <c r="AA10" i="34"/>
  <c r="AB27" i="34"/>
  <c r="Y23" i="34"/>
  <c r="Y22" i="34"/>
  <c r="Y9" i="34"/>
  <c r="J25" i="39" s="1"/>
  <c r="AB24" i="34"/>
  <c r="Y10" i="34"/>
  <c r="J26" i="39" s="1"/>
  <c r="Y12" i="34"/>
  <c r="J28" i="39" s="1"/>
  <c r="AB10" i="34"/>
  <c r="Y7" i="34"/>
  <c r="J5" i="39" s="1"/>
  <c r="AI16" i="6"/>
  <c r="AI85" i="6" s="1"/>
  <c r="AJ85" i="6" s="1"/>
  <c r="J85" i="34" s="1"/>
  <c r="U85" i="34" s="1"/>
  <c r="E16" i="5"/>
  <c r="AJ14" i="11"/>
  <c r="W16" i="14" s="1"/>
  <c r="F20" i="34"/>
  <c r="D20" i="3"/>
  <c r="E20" i="3" s="1"/>
  <c r="F20" i="3" s="1"/>
  <c r="G20" i="3" s="1"/>
  <c r="H20" i="3" s="1"/>
  <c r="I20" i="3" s="1"/>
  <c r="J20" i="3" s="1"/>
  <c r="K20" i="3" s="1"/>
  <c r="L20" i="3" s="1"/>
  <c r="M20" i="3" s="1"/>
  <c r="N20" i="3" s="1"/>
  <c r="O20" i="3" s="1"/>
  <c r="P20" i="3" s="1"/>
  <c r="Q20" i="3" s="1"/>
  <c r="R20" i="3" s="1"/>
  <c r="S20" i="3" s="1"/>
  <c r="T20" i="3" s="1"/>
  <c r="U20" i="3" s="1"/>
  <c r="V20" i="3" s="1"/>
  <c r="W20" i="3" s="1"/>
  <c r="X20" i="3" s="1"/>
  <c r="Y20" i="3" s="1"/>
  <c r="Z20" i="3" s="1"/>
  <c r="AA20" i="3" s="1"/>
  <c r="AB20" i="3" s="1"/>
  <c r="AC20" i="3" s="1"/>
  <c r="AD20" i="3" s="1"/>
  <c r="AE20" i="3" s="1"/>
  <c r="AF20" i="3" s="1"/>
  <c r="AG20" i="3" s="1"/>
  <c r="AH20" i="3" s="1"/>
  <c r="AI20" i="3" s="1"/>
  <c r="AJ20" i="3" s="1"/>
  <c r="AK20" i="3" s="1"/>
  <c r="H85" i="11"/>
  <c r="AB16" i="6"/>
  <c r="P85" i="13"/>
  <c r="J16" i="7"/>
  <c r="J14" i="7"/>
  <c r="AJ15" i="5"/>
  <c r="I19" i="34" s="1"/>
  <c r="V14" i="5"/>
  <c r="V18" i="5" s="1"/>
  <c r="V16" i="5"/>
  <c r="AJ14" i="8"/>
  <c r="W13" i="14" s="1"/>
  <c r="X13" i="14" s="1"/>
  <c r="R14" i="5"/>
  <c r="R18" i="5" s="1"/>
  <c r="R16" i="5"/>
  <c r="AC18" i="13"/>
  <c r="AH16" i="6"/>
  <c r="AJ18" i="8"/>
  <c r="L17" i="34" s="1"/>
  <c r="AH18" i="13"/>
  <c r="AG18" i="13"/>
  <c r="AG14" i="4"/>
  <c r="AG18" i="4" s="1"/>
  <c r="AJ15" i="4"/>
  <c r="H19" i="34" s="1"/>
  <c r="AJ17" i="6"/>
  <c r="J16" i="34" s="1"/>
  <c r="AJ14" i="13"/>
  <c r="Q14" i="34" s="1"/>
  <c r="AG16" i="13"/>
  <c r="AG85" i="13" s="1"/>
  <c r="AJ15" i="13"/>
  <c r="Q19" i="34" s="1"/>
  <c r="AJ17" i="13"/>
  <c r="Q16" i="34" s="1"/>
  <c r="AG16" i="4"/>
  <c r="AH18" i="6"/>
  <c r="AH16" i="13"/>
  <c r="R13" i="34"/>
  <c r="Y8" i="34"/>
  <c r="J24" i="39" s="1"/>
  <c r="AB8" i="34"/>
  <c r="AA8" i="34"/>
  <c r="K11" i="18"/>
  <c r="K12" i="18" s="1"/>
  <c r="D22" i="3"/>
  <c r="G7" i="37" s="1"/>
  <c r="AJ15" i="6"/>
  <c r="J19" i="34" s="1"/>
  <c r="Q16" i="6"/>
  <c r="Q14" i="6"/>
  <c r="Q18" i="6" s="1"/>
  <c r="Y16" i="6"/>
  <c r="Y14" i="6"/>
  <c r="Y18" i="6" s="1"/>
  <c r="D20" i="17"/>
  <c r="J6" i="39"/>
  <c r="AJ18" i="11"/>
  <c r="O17" i="34" s="1"/>
  <c r="B23" i="6"/>
  <c r="B23" i="5"/>
  <c r="A35" i="22"/>
  <c r="A37" i="22"/>
  <c r="A36" i="22"/>
  <c r="B23" i="3"/>
  <c r="B23" i="9"/>
  <c r="D23" i="2"/>
  <c r="AK23" i="2" s="1"/>
  <c r="D23" i="3" s="1"/>
  <c r="B23" i="10"/>
  <c r="B23" i="8"/>
  <c r="B23" i="11"/>
  <c r="B23" i="4"/>
  <c r="C5" i="14"/>
  <c r="C19" i="14" s="1"/>
  <c r="B23" i="13"/>
  <c r="B23" i="12"/>
  <c r="K42" i="22"/>
  <c r="K43" i="22"/>
  <c r="S17" i="14"/>
  <c r="AK85" i="12"/>
  <c r="P85" i="34"/>
  <c r="AI18" i="2" l="1"/>
  <c r="AJ14" i="2"/>
  <c r="W7" i="14" s="1"/>
  <c r="W16" i="34"/>
  <c r="U16" i="34"/>
  <c r="AJ85" i="8"/>
  <c r="S13" i="14" s="1"/>
  <c r="T16" i="34"/>
  <c r="AJ16" i="3"/>
  <c r="V8" i="14" s="1"/>
  <c r="W14" i="14"/>
  <c r="AJ85" i="9"/>
  <c r="S14" i="14" s="1"/>
  <c r="AJ16" i="2"/>
  <c r="F15" i="34" s="1"/>
  <c r="G85" i="34"/>
  <c r="AK85" i="3"/>
  <c r="T19" i="34"/>
  <c r="AJ16" i="11"/>
  <c r="O15" i="34" s="1"/>
  <c r="W15" i="14"/>
  <c r="Y15" i="14" s="1"/>
  <c r="AJ16" i="10"/>
  <c r="AK14" i="10" s="1"/>
  <c r="AJ85" i="11"/>
  <c r="S16" i="14" s="1"/>
  <c r="AJ16" i="9"/>
  <c r="M15" i="34" s="1"/>
  <c r="V19" i="34"/>
  <c r="W19" i="34"/>
  <c r="AJ16" i="12"/>
  <c r="V17" i="14" s="1"/>
  <c r="A33" i="22"/>
  <c r="AK86" i="22"/>
  <c r="E18" i="2"/>
  <c r="AJ16" i="7"/>
  <c r="V12" i="14" s="1"/>
  <c r="AJ16" i="8"/>
  <c r="V13" i="14" s="1"/>
  <c r="AH18" i="12"/>
  <c r="AJ18" i="12" s="1"/>
  <c r="P17" i="34" s="1"/>
  <c r="AJ14" i="12"/>
  <c r="G14" i="34"/>
  <c r="E85" i="2"/>
  <c r="AJ85" i="2" s="1"/>
  <c r="AK24" i="2" s="1"/>
  <c r="D24" i="3" s="1"/>
  <c r="AK24" i="3" s="1"/>
  <c r="D24" i="4" s="1"/>
  <c r="AK24" i="4" s="1"/>
  <c r="D24" i="5" s="1"/>
  <c r="AK24" i="5" s="1"/>
  <c r="D24" i="6" s="1"/>
  <c r="AK24" i="6" s="1"/>
  <c r="D24" i="7" s="1"/>
  <c r="AK24" i="7" s="1"/>
  <c r="D24" i="8" s="1"/>
  <c r="AJ18" i="4"/>
  <c r="H17" i="34" s="1"/>
  <c r="X28" i="34"/>
  <c r="O11" i="38"/>
  <c r="AJ16" i="4"/>
  <c r="V9" i="14" s="1"/>
  <c r="G25" i="39"/>
  <c r="G28" i="39"/>
  <c r="G27" i="39"/>
  <c r="G26" i="39"/>
  <c r="S11" i="14"/>
  <c r="J29" i="39"/>
  <c r="O14" i="34"/>
  <c r="D14" i="36"/>
  <c r="F14" i="36"/>
  <c r="F16" i="36"/>
  <c r="D16" i="36"/>
  <c r="D10" i="36"/>
  <c r="F10" i="36"/>
  <c r="D15" i="36"/>
  <c r="F15" i="36"/>
  <c r="AK22" i="3"/>
  <c r="G33" i="34" s="1"/>
  <c r="AK85" i="6"/>
  <c r="F9" i="36"/>
  <c r="D9" i="36"/>
  <c r="F8" i="36"/>
  <c r="D8" i="36"/>
  <c r="D7" i="36"/>
  <c r="F7" i="36"/>
  <c r="D20" i="4"/>
  <c r="E20" i="4" s="1"/>
  <c r="F20" i="4" s="1"/>
  <c r="G20" i="4" s="1"/>
  <c r="H20" i="4" s="1"/>
  <c r="I20" i="4" s="1"/>
  <c r="J20" i="4" s="1"/>
  <c r="K20" i="4" s="1"/>
  <c r="L20" i="4" s="1"/>
  <c r="M20" i="4" s="1"/>
  <c r="N20" i="4" s="1"/>
  <c r="O20" i="4" s="1"/>
  <c r="P20" i="4" s="1"/>
  <c r="Q20" i="4" s="1"/>
  <c r="R20" i="4" s="1"/>
  <c r="S20" i="4" s="1"/>
  <c r="T20" i="4" s="1"/>
  <c r="U20" i="4" s="1"/>
  <c r="V20" i="4" s="1"/>
  <c r="W20" i="4" s="1"/>
  <c r="X20" i="4" s="1"/>
  <c r="Y20" i="4" s="1"/>
  <c r="Z20" i="4" s="1"/>
  <c r="AA20" i="4" s="1"/>
  <c r="AB20" i="4" s="1"/>
  <c r="AC20" i="4" s="1"/>
  <c r="AD20" i="4" s="1"/>
  <c r="AE20" i="4" s="1"/>
  <c r="AF20" i="4" s="1"/>
  <c r="AG20" i="4" s="1"/>
  <c r="AH20" i="4" s="1"/>
  <c r="AI20" i="4" s="1"/>
  <c r="AJ20" i="4" s="1"/>
  <c r="D20" i="5" s="1"/>
  <c r="E20" i="5" s="1"/>
  <c r="F20" i="5" s="1"/>
  <c r="G20" i="5" s="1"/>
  <c r="H20" i="5" s="1"/>
  <c r="I20" i="5" s="1"/>
  <c r="J20" i="5" s="1"/>
  <c r="K20" i="5" s="1"/>
  <c r="L20" i="5" s="1"/>
  <c r="M20" i="5" s="1"/>
  <c r="N20" i="5" s="1"/>
  <c r="O20" i="5" s="1"/>
  <c r="P20" i="5" s="1"/>
  <c r="Q20" i="5" s="1"/>
  <c r="R20" i="5" s="1"/>
  <c r="S20" i="5" s="1"/>
  <c r="T20" i="5" s="1"/>
  <c r="U20" i="5" s="1"/>
  <c r="V20" i="5" s="1"/>
  <c r="W20" i="5" s="1"/>
  <c r="X20" i="5" s="1"/>
  <c r="Y20" i="5" s="1"/>
  <c r="Z20" i="5" s="1"/>
  <c r="AA20" i="5" s="1"/>
  <c r="AB20" i="5" s="1"/>
  <c r="AC20" i="5" s="1"/>
  <c r="AD20" i="5" s="1"/>
  <c r="AE20" i="5" s="1"/>
  <c r="AF20" i="5" s="1"/>
  <c r="AG20" i="5" s="1"/>
  <c r="AH20" i="5" s="1"/>
  <c r="AI20" i="5" s="1"/>
  <c r="AJ20" i="5" s="1"/>
  <c r="I20" i="34" s="1"/>
  <c r="G20" i="34"/>
  <c r="U19" i="34"/>
  <c r="AJ18" i="5"/>
  <c r="I17" i="34" s="1"/>
  <c r="Y13" i="14"/>
  <c r="V17" i="34"/>
  <c r="J18" i="7"/>
  <c r="AJ18" i="7" s="1"/>
  <c r="K17" i="34" s="1"/>
  <c r="AJ14" i="7"/>
  <c r="AJ16" i="5"/>
  <c r="V10" i="14" s="1"/>
  <c r="AJ14" i="5"/>
  <c r="W10" i="14" s="1"/>
  <c r="L14" i="34"/>
  <c r="V14" i="34" s="1"/>
  <c r="AJ18" i="13"/>
  <c r="Q17" i="34" s="1"/>
  <c r="AJ16" i="13"/>
  <c r="V18" i="14" s="1"/>
  <c r="AJ16" i="6"/>
  <c r="V11" i="14" s="1"/>
  <c r="W18" i="14"/>
  <c r="AJ14" i="4"/>
  <c r="AH85" i="13"/>
  <c r="AJ85" i="13" s="1"/>
  <c r="AK85" i="13" s="1"/>
  <c r="R16" i="34"/>
  <c r="F6" i="36"/>
  <c r="AB13" i="34"/>
  <c r="Y13" i="34"/>
  <c r="AA13" i="34"/>
  <c r="K13" i="18"/>
  <c r="K14" i="18" s="1"/>
  <c r="K15" i="18" s="1"/>
  <c r="K16" i="18" s="1"/>
  <c r="K17" i="18" s="1"/>
  <c r="K18" i="18" s="1"/>
  <c r="K19" i="18" s="1"/>
  <c r="K20" i="18" s="1"/>
  <c r="K21" i="18" s="1"/>
  <c r="K22" i="18" s="1"/>
  <c r="K23" i="18" s="1"/>
  <c r="K24" i="18" s="1"/>
  <c r="K25" i="18" s="1"/>
  <c r="K26" i="18" s="1"/>
  <c r="K27" i="18" s="1"/>
  <c r="K28" i="18" s="1"/>
  <c r="R19" i="34"/>
  <c r="Y19" i="34" s="1"/>
  <c r="AJ14" i="6"/>
  <c r="J14" i="34" s="1"/>
  <c r="AJ18" i="6"/>
  <c r="J17" i="34" s="1"/>
  <c r="V7" i="14"/>
  <c r="AK23" i="3"/>
  <c r="D23" i="4" s="1"/>
  <c r="AK23" i="4" s="1"/>
  <c r="D23" i="5" s="1"/>
  <c r="AK23" i="5" s="1"/>
  <c r="D23" i="6" s="1"/>
  <c r="AK23" i="6" s="1"/>
  <c r="D23" i="7" s="1"/>
  <c r="AK23" i="7" s="1"/>
  <c r="D23" i="8" s="1"/>
  <c r="AK23" i="8" s="1"/>
  <c r="D23" i="9" s="1"/>
  <c r="AK23" i="9" s="1"/>
  <c r="D23" i="10" s="1"/>
  <c r="AK23" i="10" s="1"/>
  <c r="D23" i="11" s="1"/>
  <c r="AK23" i="11" s="1"/>
  <c r="D23" i="12" s="1"/>
  <c r="AK23" i="12" s="1"/>
  <c r="D23" i="13" s="1"/>
  <c r="AK23" i="13" s="1"/>
  <c r="F14" i="34"/>
  <c r="X8" i="14"/>
  <c r="X16" i="14"/>
  <c r="Y16" i="14"/>
  <c r="AJ18" i="2" l="1"/>
  <c r="F17" i="34" s="1"/>
  <c r="R17" i="34" s="1"/>
  <c r="AB17" i="34" s="1"/>
  <c r="L85" i="34"/>
  <c r="AK85" i="8"/>
  <c r="AK24" i="8"/>
  <c r="D24" i="9" s="1"/>
  <c r="AK24" i="9" s="1"/>
  <c r="D24" i="10" s="1"/>
  <c r="AK24" i="10" s="1"/>
  <c r="D24" i="11" s="1"/>
  <c r="AK24" i="11" s="1"/>
  <c r="D24" i="12" s="1"/>
  <c r="AK24" i="12" s="1"/>
  <c r="D24" i="13" s="1"/>
  <c r="AK24" i="13" s="1"/>
  <c r="AK14" i="7"/>
  <c r="AK14" i="3"/>
  <c r="G15" i="34"/>
  <c r="Y14" i="14"/>
  <c r="AK85" i="11"/>
  <c r="V16" i="14"/>
  <c r="AK85" i="9"/>
  <c r="M85" i="34"/>
  <c r="V14" i="14"/>
  <c r="X14" i="14" s="1"/>
  <c r="O85" i="34"/>
  <c r="AK14" i="11"/>
  <c r="AK14" i="9"/>
  <c r="K15" i="34"/>
  <c r="AK14" i="8"/>
  <c r="N15" i="34"/>
  <c r="V15" i="14"/>
  <c r="L15" i="34"/>
  <c r="X15" i="14"/>
  <c r="E19" i="2"/>
  <c r="F19" i="2" s="1"/>
  <c r="G19" i="2" s="1"/>
  <c r="H19" i="2" s="1"/>
  <c r="I19" i="2" s="1"/>
  <c r="J19" i="2" s="1"/>
  <c r="K19" i="2" s="1"/>
  <c r="L19" i="2" s="1"/>
  <c r="M19" i="2" s="1"/>
  <c r="N19" i="2" s="1"/>
  <c r="O19" i="2" s="1"/>
  <c r="P19" i="2" s="1"/>
  <c r="Q19" i="2" s="1"/>
  <c r="R19" i="2" s="1"/>
  <c r="S19" i="2" s="1"/>
  <c r="T19" i="2" s="1"/>
  <c r="U19" i="2" s="1"/>
  <c r="V19" i="2" s="1"/>
  <c r="W19" i="2" s="1"/>
  <c r="X19" i="2" s="1"/>
  <c r="Y19" i="2" s="1"/>
  <c r="Z19" i="2" s="1"/>
  <c r="AA19" i="2" s="1"/>
  <c r="AB19" i="2" s="1"/>
  <c r="AC19" i="2" s="1"/>
  <c r="AD19" i="2" s="1"/>
  <c r="AE19" i="2" s="1"/>
  <c r="AF19" i="2" s="1"/>
  <c r="AG19" i="2" s="1"/>
  <c r="AH19" i="2" s="1"/>
  <c r="AI19" i="2" s="1"/>
  <c r="U7" i="14" s="1"/>
  <c r="AK14" i="12"/>
  <c r="P15" i="34"/>
  <c r="E41" i="22"/>
  <c r="E42" i="22"/>
  <c r="AK14" i="2"/>
  <c r="W17" i="34"/>
  <c r="F85" i="34"/>
  <c r="T85" i="34" s="1"/>
  <c r="S7" i="14"/>
  <c r="T7" i="14" s="1"/>
  <c r="T8" i="14" s="1"/>
  <c r="T9" i="14" s="1"/>
  <c r="T10" i="14" s="1"/>
  <c r="T11" i="14" s="1"/>
  <c r="T12" i="14" s="1"/>
  <c r="T13" i="14" s="1"/>
  <c r="T14" i="14" s="1"/>
  <c r="T15" i="14" s="1"/>
  <c r="T16" i="14" s="1"/>
  <c r="T17" i="14" s="1"/>
  <c r="AK85" i="2"/>
  <c r="W17" i="14"/>
  <c r="P14" i="34"/>
  <c r="W14" i="34" s="1"/>
  <c r="H15" i="34"/>
  <c r="X29" i="34"/>
  <c r="AB28" i="34"/>
  <c r="AA28" i="34"/>
  <c r="Y28" i="34"/>
  <c r="D22" i="4"/>
  <c r="AK22" i="4" s="1"/>
  <c r="D20" i="6"/>
  <c r="E20" i="6" s="1"/>
  <c r="F20" i="6" s="1"/>
  <c r="G20" i="6" s="1"/>
  <c r="H20" i="6" s="1"/>
  <c r="I20" i="6" s="1"/>
  <c r="J20" i="6" s="1"/>
  <c r="K20" i="6" s="1"/>
  <c r="L20" i="6" s="1"/>
  <c r="M20" i="6" s="1"/>
  <c r="N20" i="6" s="1"/>
  <c r="O20" i="6" s="1"/>
  <c r="P20" i="6" s="1"/>
  <c r="Q20" i="6" s="1"/>
  <c r="R20" i="6" s="1"/>
  <c r="S20" i="6" s="1"/>
  <c r="T20" i="6" s="1"/>
  <c r="U20" i="6" s="1"/>
  <c r="V20" i="6" s="1"/>
  <c r="W20" i="6" s="1"/>
  <c r="X20" i="6" s="1"/>
  <c r="Y20" i="6" s="1"/>
  <c r="Z20" i="6" s="1"/>
  <c r="AA20" i="6" s="1"/>
  <c r="AB20" i="6" s="1"/>
  <c r="AC20" i="6" s="1"/>
  <c r="AD20" i="6" s="1"/>
  <c r="AE20" i="6" s="1"/>
  <c r="AF20" i="6" s="1"/>
  <c r="AG20" i="6" s="1"/>
  <c r="AH20" i="6" s="1"/>
  <c r="AI20" i="6" s="1"/>
  <c r="AJ20" i="6" s="1"/>
  <c r="J20" i="34" s="1"/>
  <c r="H20" i="34"/>
  <c r="T20" i="34" s="1"/>
  <c r="AK20" i="5"/>
  <c r="AK20" i="4"/>
  <c r="U17" i="34"/>
  <c r="AK14" i="5"/>
  <c r="I14" i="34"/>
  <c r="X18" i="14"/>
  <c r="I15" i="34"/>
  <c r="K14" i="34"/>
  <c r="W12" i="14"/>
  <c r="X12" i="14" s="1"/>
  <c r="J8" i="39"/>
  <c r="Q15" i="34"/>
  <c r="J15" i="34"/>
  <c r="D18" i="1"/>
  <c r="D19" i="1" s="1"/>
  <c r="S18" i="14"/>
  <c r="Y16" i="34"/>
  <c r="AB16" i="34"/>
  <c r="AA16" i="34"/>
  <c r="AA19" i="34"/>
  <c r="AK14" i="4"/>
  <c r="W9" i="14"/>
  <c r="H14" i="34"/>
  <c r="Q85" i="34"/>
  <c r="AK14" i="13"/>
  <c r="AB19" i="34"/>
  <c r="AK14" i="6"/>
  <c r="W11" i="14"/>
  <c r="X11" i="14" s="1"/>
  <c r="B15" i="12"/>
  <c r="B15" i="11"/>
  <c r="B15" i="7"/>
  <c r="B15" i="2"/>
  <c r="B15" i="6"/>
  <c r="B15" i="8"/>
  <c r="B15" i="10"/>
  <c r="D19" i="17"/>
  <c r="B15" i="3"/>
  <c r="B15" i="5"/>
  <c r="B15" i="4"/>
  <c r="B15" i="13"/>
  <c r="B15" i="9"/>
  <c r="X10" i="14"/>
  <c r="X7" i="14"/>
  <c r="T17" i="34" l="1"/>
  <c r="V85" i="34"/>
  <c r="T15" i="34"/>
  <c r="V19" i="14"/>
  <c r="Y5" i="14" s="1"/>
  <c r="D20" i="1" s="1"/>
  <c r="E20" i="1" s="1"/>
  <c r="W15" i="34"/>
  <c r="V15" i="34"/>
  <c r="AJ19" i="2"/>
  <c r="F18" i="34" s="1"/>
  <c r="E7" i="37" s="1"/>
  <c r="AK19" i="2"/>
  <c r="S19" i="14"/>
  <c r="R85" i="34"/>
  <c r="X17" i="14"/>
  <c r="Y17" i="14"/>
  <c r="Y18" i="14" s="1"/>
  <c r="G8" i="37"/>
  <c r="X30" i="34"/>
  <c r="O12" i="38"/>
  <c r="AA29" i="34"/>
  <c r="Q12" i="38" s="1"/>
  <c r="Y29" i="34"/>
  <c r="AB29" i="34"/>
  <c r="U15" i="34"/>
  <c r="AK20" i="6"/>
  <c r="D20" i="7"/>
  <c r="E20" i="7" s="1"/>
  <c r="F20" i="7" s="1"/>
  <c r="G20" i="7" s="1"/>
  <c r="H20" i="7" s="1"/>
  <c r="I20" i="7" s="1"/>
  <c r="J20" i="7" s="1"/>
  <c r="K20" i="7" s="1"/>
  <c r="L20" i="7" s="1"/>
  <c r="M20" i="7" s="1"/>
  <c r="N20" i="7" s="1"/>
  <c r="O20" i="7" s="1"/>
  <c r="P20" i="7" s="1"/>
  <c r="Q20" i="7" s="1"/>
  <c r="R20" i="7" s="1"/>
  <c r="S20" i="7" s="1"/>
  <c r="T20" i="7" s="1"/>
  <c r="U20" i="7" s="1"/>
  <c r="V20" i="7" s="1"/>
  <c r="W20" i="7" s="1"/>
  <c r="X20" i="7" s="1"/>
  <c r="Y20" i="7" s="1"/>
  <c r="Z20" i="7" s="1"/>
  <c r="AA20" i="7" s="1"/>
  <c r="AB20" i="7" s="1"/>
  <c r="AC20" i="7" s="1"/>
  <c r="AD20" i="7" s="1"/>
  <c r="AE20" i="7" s="1"/>
  <c r="AF20" i="7" s="1"/>
  <c r="AG20" i="7" s="1"/>
  <c r="AH20" i="7" s="1"/>
  <c r="AI20" i="7" s="1"/>
  <c r="AJ20" i="7" s="1"/>
  <c r="K20" i="34" s="1"/>
  <c r="U20" i="34" s="1"/>
  <c r="U14" i="34"/>
  <c r="R15" i="34"/>
  <c r="R14" i="34"/>
  <c r="AB14" i="34" s="1"/>
  <c r="T18" i="14"/>
  <c r="T19" i="14" s="1"/>
  <c r="T22" i="14" s="1"/>
  <c r="W85" i="34"/>
  <c r="X9" i="14"/>
  <c r="T14" i="34"/>
  <c r="Y17" i="34"/>
  <c r="J18" i="39" s="1"/>
  <c r="W19" i="14"/>
  <c r="AA17" i="34"/>
  <c r="Y7" i="14"/>
  <c r="Y8" i="14" s="1"/>
  <c r="Y9" i="14" s="1"/>
  <c r="Y10" i="14" s="1"/>
  <c r="Y11" i="14" s="1"/>
  <c r="Y12" i="14" s="1"/>
  <c r="H33" i="34"/>
  <c r="T33" i="34" s="1"/>
  <c r="D22" i="5"/>
  <c r="D19" i="3" l="1"/>
  <c r="E19" i="3" s="1"/>
  <c r="F19" i="3" s="1"/>
  <c r="G19" i="3" s="1"/>
  <c r="H19" i="3" s="1"/>
  <c r="I19" i="3" s="1"/>
  <c r="J19" i="3" s="1"/>
  <c r="K19" i="3" s="1"/>
  <c r="L19" i="3" s="1"/>
  <c r="M19" i="3" s="1"/>
  <c r="N19" i="3" s="1"/>
  <c r="O19" i="3" s="1"/>
  <c r="P19" i="3" s="1"/>
  <c r="Q19" i="3" s="1"/>
  <c r="R19" i="3" s="1"/>
  <c r="S19" i="3" s="1"/>
  <c r="T19" i="3" s="1"/>
  <c r="U19" i="3" s="1"/>
  <c r="V19" i="3" s="1"/>
  <c r="W19" i="3" s="1"/>
  <c r="X19" i="3" s="1"/>
  <c r="Y19" i="3" s="1"/>
  <c r="Z19" i="3" s="1"/>
  <c r="AA19" i="3" s="1"/>
  <c r="AB19" i="3" s="1"/>
  <c r="AC19" i="3" s="1"/>
  <c r="AD19" i="3" s="1"/>
  <c r="AE19" i="3" s="1"/>
  <c r="AF19" i="3" s="1"/>
  <c r="AG19" i="3" s="1"/>
  <c r="AH19" i="3" s="1"/>
  <c r="AI19" i="3" s="1"/>
  <c r="AK19" i="3" s="1"/>
  <c r="D17" i="36"/>
  <c r="F17" i="36"/>
  <c r="O13" i="38"/>
  <c r="X31" i="34"/>
  <c r="Y30" i="34"/>
  <c r="AA30" i="34"/>
  <c r="Q13" i="38" s="1"/>
  <c r="AB30" i="34"/>
  <c r="D17" i="17"/>
  <c r="F17" i="17" s="1"/>
  <c r="Y15" i="34"/>
  <c r="J16" i="39" s="1"/>
  <c r="AA14" i="34"/>
  <c r="Y14" i="34"/>
  <c r="J17" i="39" s="1"/>
  <c r="AA15" i="34"/>
  <c r="D20" i="8"/>
  <c r="E20" i="8" s="1"/>
  <c r="F20" i="8" s="1"/>
  <c r="G20" i="8" s="1"/>
  <c r="H20" i="8" s="1"/>
  <c r="I20" i="8" s="1"/>
  <c r="J20" i="8" s="1"/>
  <c r="K20" i="8" s="1"/>
  <c r="L20" i="8" s="1"/>
  <c r="M20" i="8" s="1"/>
  <c r="N20" i="8" s="1"/>
  <c r="O20" i="8" s="1"/>
  <c r="P20" i="8" s="1"/>
  <c r="Q20" i="8" s="1"/>
  <c r="R20" i="8" s="1"/>
  <c r="S20" i="8" s="1"/>
  <c r="T20" i="8" s="1"/>
  <c r="U20" i="8" s="1"/>
  <c r="V20" i="8" s="1"/>
  <c r="W20" i="8" s="1"/>
  <c r="X20" i="8" s="1"/>
  <c r="Y20" i="8" s="1"/>
  <c r="Z20" i="8" s="1"/>
  <c r="AA20" i="8" s="1"/>
  <c r="AB20" i="8" s="1"/>
  <c r="AC20" i="8" s="1"/>
  <c r="AD20" i="8" s="1"/>
  <c r="AE20" i="8" s="1"/>
  <c r="AF20" i="8" s="1"/>
  <c r="AG20" i="8" s="1"/>
  <c r="AH20" i="8" s="1"/>
  <c r="AI20" i="8" s="1"/>
  <c r="AJ20" i="8" s="1"/>
  <c r="D20" i="9" s="1"/>
  <c r="E20" i="9" s="1"/>
  <c r="F20" i="9" s="1"/>
  <c r="G20" i="9" s="1"/>
  <c r="H20" i="9" s="1"/>
  <c r="I20" i="9" s="1"/>
  <c r="J20" i="9" s="1"/>
  <c r="K20" i="9" s="1"/>
  <c r="L20" i="9" s="1"/>
  <c r="M20" i="9" s="1"/>
  <c r="N20" i="9" s="1"/>
  <c r="O20" i="9" s="1"/>
  <c r="P20" i="9" s="1"/>
  <c r="Q20" i="9" s="1"/>
  <c r="R20" i="9" s="1"/>
  <c r="S20" i="9" s="1"/>
  <c r="T20" i="9" s="1"/>
  <c r="U20" i="9" s="1"/>
  <c r="V20" i="9" s="1"/>
  <c r="W20" i="9" s="1"/>
  <c r="X20" i="9" s="1"/>
  <c r="Y20" i="9" s="1"/>
  <c r="Z20" i="9" s="1"/>
  <c r="AA20" i="9" s="1"/>
  <c r="AB20" i="9" s="1"/>
  <c r="AC20" i="9" s="1"/>
  <c r="AD20" i="9" s="1"/>
  <c r="AE20" i="9" s="1"/>
  <c r="AF20" i="9" s="1"/>
  <c r="AG20" i="9" s="1"/>
  <c r="AH20" i="9" s="1"/>
  <c r="AI20" i="9" s="1"/>
  <c r="AJ20" i="9" s="1"/>
  <c r="AK20" i="7"/>
  <c r="J7" i="39"/>
  <c r="AB15" i="34"/>
  <c r="D6" i="36" s="1"/>
  <c r="D11" i="36" s="1"/>
  <c r="D13" i="36"/>
  <c r="G9" i="37"/>
  <c r="AK22" i="5"/>
  <c r="G24" i="39" l="1"/>
  <c r="G29" i="39" s="1"/>
  <c r="U8" i="14"/>
  <c r="AJ19" i="3"/>
  <c r="G18" i="34" s="1"/>
  <c r="E8" i="37" s="1"/>
  <c r="F18" i="36"/>
  <c r="D18" i="36"/>
  <c r="X32" i="34"/>
  <c r="O14" i="38"/>
  <c r="AB31" i="34"/>
  <c r="Y31" i="34"/>
  <c r="AA31" i="34"/>
  <c r="Q14" i="38" s="1"/>
  <c r="L20" i="34"/>
  <c r="AK20" i="8"/>
  <c r="D20" i="10"/>
  <c r="E20" i="10" s="1"/>
  <c r="F20" i="10" s="1"/>
  <c r="G20" i="10" s="1"/>
  <c r="H20" i="10" s="1"/>
  <c r="I20" i="10" s="1"/>
  <c r="J20" i="10" s="1"/>
  <c r="K20" i="10" s="1"/>
  <c r="L20" i="10" s="1"/>
  <c r="M20" i="10" s="1"/>
  <c r="N20" i="10" s="1"/>
  <c r="O20" i="10" s="1"/>
  <c r="P20" i="10" s="1"/>
  <c r="Q20" i="10" s="1"/>
  <c r="R20" i="10" s="1"/>
  <c r="S20" i="10" s="1"/>
  <c r="T20" i="10" s="1"/>
  <c r="U20" i="10" s="1"/>
  <c r="V20" i="10" s="1"/>
  <c r="W20" i="10" s="1"/>
  <c r="X20" i="10" s="1"/>
  <c r="Y20" i="10" s="1"/>
  <c r="Z20" i="10" s="1"/>
  <c r="AA20" i="10" s="1"/>
  <c r="AB20" i="10" s="1"/>
  <c r="AC20" i="10" s="1"/>
  <c r="AD20" i="10" s="1"/>
  <c r="AE20" i="10" s="1"/>
  <c r="AF20" i="10" s="1"/>
  <c r="AG20" i="10" s="1"/>
  <c r="AH20" i="10" s="1"/>
  <c r="AI20" i="10" s="1"/>
  <c r="AJ20" i="10" s="1"/>
  <c r="M20" i="34"/>
  <c r="AK20" i="9"/>
  <c r="D22" i="6"/>
  <c r="I33" i="34"/>
  <c r="D19" i="4" l="1"/>
  <c r="E19" i="4" s="1"/>
  <c r="F19" i="4" s="1"/>
  <c r="G19" i="4" s="1"/>
  <c r="H19" i="4" s="1"/>
  <c r="I19" i="4" s="1"/>
  <c r="J19" i="4" s="1"/>
  <c r="K19" i="4" s="1"/>
  <c r="L19" i="4" s="1"/>
  <c r="M19" i="4" s="1"/>
  <c r="N19" i="4" s="1"/>
  <c r="O19" i="4" s="1"/>
  <c r="P19" i="4" s="1"/>
  <c r="Q19" i="4" s="1"/>
  <c r="R19" i="4" s="1"/>
  <c r="S19" i="4" s="1"/>
  <c r="T19" i="4" s="1"/>
  <c r="U19" i="4" s="1"/>
  <c r="V19" i="4" s="1"/>
  <c r="W19" i="4" s="1"/>
  <c r="X19" i="4" s="1"/>
  <c r="Y19" i="4" s="1"/>
  <c r="Z19" i="4" s="1"/>
  <c r="AA19" i="4" s="1"/>
  <c r="AB19" i="4" s="1"/>
  <c r="AC19" i="4" s="1"/>
  <c r="AD19" i="4" s="1"/>
  <c r="AE19" i="4" s="1"/>
  <c r="AF19" i="4" s="1"/>
  <c r="AG19" i="4" s="1"/>
  <c r="AH19" i="4" s="1"/>
  <c r="AI19" i="4" s="1"/>
  <c r="AJ19" i="4" s="1"/>
  <c r="D19" i="5" s="1"/>
  <c r="E19" i="5" s="1"/>
  <c r="F19" i="5" s="1"/>
  <c r="G19" i="5" s="1"/>
  <c r="H19" i="5" s="1"/>
  <c r="I19" i="5" s="1"/>
  <c r="J19" i="5" s="1"/>
  <c r="K19" i="5" s="1"/>
  <c r="L19" i="5" s="1"/>
  <c r="M19" i="5" s="1"/>
  <c r="N19" i="5" s="1"/>
  <c r="O19" i="5" s="1"/>
  <c r="P19" i="5" s="1"/>
  <c r="Q19" i="5" s="1"/>
  <c r="R19" i="5" s="1"/>
  <c r="S19" i="5" s="1"/>
  <c r="T19" i="5" s="1"/>
  <c r="U19" i="5" s="1"/>
  <c r="V19" i="5" s="1"/>
  <c r="W19" i="5" s="1"/>
  <c r="X19" i="5" s="1"/>
  <c r="Y19" i="5" s="1"/>
  <c r="Z19" i="5" s="1"/>
  <c r="AA19" i="5" s="1"/>
  <c r="AB19" i="5" s="1"/>
  <c r="AC19" i="5" s="1"/>
  <c r="AD19" i="5" s="1"/>
  <c r="AE19" i="5" s="1"/>
  <c r="AF19" i="5" s="1"/>
  <c r="AG19" i="5" s="1"/>
  <c r="AH19" i="5" s="1"/>
  <c r="AI19" i="5" s="1"/>
  <c r="D19" i="36"/>
  <c r="F19" i="36"/>
  <c r="X33" i="34"/>
  <c r="X34" i="34" s="1"/>
  <c r="O15" i="38"/>
  <c r="Y32" i="34"/>
  <c r="AA32" i="34"/>
  <c r="Q15" i="38" s="1"/>
  <c r="AB32" i="34"/>
  <c r="AK20" i="10"/>
  <c r="N20" i="34"/>
  <c r="V20" i="34" s="1"/>
  <c r="D20" i="11"/>
  <c r="E20" i="11" s="1"/>
  <c r="F20" i="11" s="1"/>
  <c r="G20" i="11" s="1"/>
  <c r="H20" i="11" s="1"/>
  <c r="I20" i="11" s="1"/>
  <c r="J20" i="11" s="1"/>
  <c r="K20" i="11" s="1"/>
  <c r="L20" i="11" s="1"/>
  <c r="M20" i="11" s="1"/>
  <c r="N20" i="11" s="1"/>
  <c r="O20" i="11" s="1"/>
  <c r="P20" i="11" s="1"/>
  <c r="Q20" i="11" s="1"/>
  <c r="R20" i="11" s="1"/>
  <c r="S20" i="11" s="1"/>
  <c r="T20" i="11" s="1"/>
  <c r="U20" i="11" s="1"/>
  <c r="V20" i="11" s="1"/>
  <c r="W20" i="11" s="1"/>
  <c r="X20" i="11" s="1"/>
  <c r="Y20" i="11" s="1"/>
  <c r="Z20" i="11" s="1"/>
  <c r="AA20" i="11" s="1"/>
  <c r="AB20" i="11" s="1"/>
  <c r="AC20" i="11" s="1"/>
  <c r="AD20" i="11" s="1"/>
  <c r="AE20" i="11" s="1"/>
  <c r="AF20" i="11" s="1"/>
  <c r="AG20" i="11" s="1"/>
  <c r="AH20" i="11" s="1"/>
  <c r="AI20" i="11" s="1"/>
  <c r="AJ20" i="11" s="1"/>
  <c r="AK22" i="6"/>
  <c r="G10" i="37"/>
  <c r="AK19" i="4" l="1"/>
  <c r="U9" i="14"/>
  <c r="H18" i="34"/>
  <c r="E9" i="37" s="1"/>
  <c r="F20" i="36"/>
  <c r="D20" i="36"/>
  <c r="X35" i="34"/>
  <c r="Y34" i="34"/>
  <c r="AB34" i="34"/>
  <c r="AA34" i="34"/>
  <c r="U10" i="14"/>
  <c r="AK19" i="5"/>
  <c r="AJ19" i="5"/>
  <c r="D20" i="12"/>
  <c r="E20" i="12" s="1"/>
  <c r="F20" i="12" s="1"/>
  <c r="G20" i="12" s="1"/>
  <c r="H20" i="12" s="1"/>
  <c r="I20" i="12" s="1"/>
  <c r="J20" i="12" s="1"/>
  <c r="K20" i="12" s="1"/>
  <c r="L20" i="12" s="1"/>
  <c r="M20" i="12" s="1"/>
  <c r="N20" i="12" s="1"/>
  <c r="O20" i="12" s="1"/>
  <c r="P20" i="12" s="1"/>
  <c r="Q20" i="12" s="1"/>
  <c r="R20" i="12" s="1"/>
  <c r="S20" i="12" s="1"/>
  <c r="T20" i="12" s="1"/>
  <c r="U20" i="12" s="1"/>
  <c r="V20" i="12" s="1"/>
  <c r="W20" i="12" s="1"/>
  <c r="X20" i="12" s="1"/>
  <c r="Y20" i="12" s="1"/>
  <c r="Z20" i="12" s="1"/>
  <c r="AA20" i="12" s="1"/>
  <c r="AB20" i="12" s="1"/>
  <c r="AC20" i="12" s="1"/>
  <c r="AD20" i="12" s="1"/>
  <c r="AE20" i="12" s="1"/>
  <c r="AF20" i="12" s="1"/>
  <c r="AG20" i="12" s="1"/>
  <c r="AH20" i="12" s="1"/>
  <c r="AI20" i="12" s="1"/>
  <c r="AJ20" i="12" s="1"/>
  <c r="AK20" i="11"/>
  <c r="O20" i="34"/>
  <c r="J33" i="34"/>
  <c r="D22" i="7"/>
  <c r="T18" i="34" l="1"/>
  <c r="X36" i="34"/>
  <c r="AA35" i="34"/>
  <c r="AB35" i="34"/>
  <c r="Y35" i="34"/>
  <c r="AK20" i="12"/>
  <c r="P20" i="34"/>
  <c r="D20" i="13"/>
  <c r="E20" i="13" s="1"/>
  <c r="F20" i="13" s="1"/>
  <c r="G20" i="13" s="1"/>
  <c r="H20" i="13" s="1"/>
  <c r="I20" i="13" s="1"/>
  <c r="J20" i="13" s="1"/>
  <c r="K20" i="13" s="1"/>
  <c r="L20" i="13" s="1"/>
  <c r="M20" i="13" s="1"/>
  <c r="N20" i="13" s="1"/>
  <c r="O20" i="13" s="1"/>
  <c r="P20" i="13" s="1"/>
  <c r="Q20" i="13" s="1"/>
  <c r="R20" i="13" s="1"/>
  <c r="S20" i="13" s="1"/>
  <c r="T20" i="13" s="1"/>
  <c r="U20" i="13" s="1"/>
  <c r="V20" i="13" s="1"/>
  <c r="W20" i="13" s="1"/>
  <c r="X20" i="13" s="1"/>
  <c r="Y20" i="13" s="1"/>
  <c r="Z20" i="13" s="1"/>
  <c r="AA20" i="13" s="1"/>
  <c r="AB20" i="13" s="1"/>
  <c r="AC20" i="13" s="1"/>
  <c r="AD20" i="13" s="1"/>
  <c r="AE20" i="13" s="1"/>
  <c r="AF20" i="13" s="1"/>
  <c r="AG20" i="13" s="1"/>
  <c r="AH20" i="13" s="1"/>
  <c r="AI20" i="13" s="1"/>
  <c r="AJ20" i="13" s="1"/>
  <c r="I18" i="34"/>
  <c r="E10" i="37" s="1"/>
  <c r="D19" i="6"/>
  <c r="E19" i="6" s="1"/>
  <c r="F19" i="6" s="1"/>
  <c r="G19" i="6" s="1"/>
  <c r="H19" i="6" s="1"/>
  <c r="I19" i="6" s="1"/>
  <c r="J19" i="6" s="1"/>
  <c r="K19" i="6" s="1"/>
  <c r="L19" i="6" s="1"/>
  <c r="M19" i="6" s="1"/>
  <c r="N19" i="6" s="1"/>
  <c r="O19" i="6" s="1"/>
  <c r="P19" i="6" s="1"/>
  <c r="Q19" i="6" s="1"/>
  <c r="R19" i="6" s="1"/>
  <c r="S19" i="6" s="1"/>
  <c r="T19" i="6" s="1"/>
  <c r="U19" i="6" s="1"/>
  <c r="V19" i="6" s="1"/>
  <c r="W19" i="6" s="1"/>
  <c r="X19" i="6" s="1"/>
  <c r="Y19" i="6" s="1"/>
  <c r="Z19" i="6" s="1"/>
  <c r="AA19" i="6" s="1"/>
  <c r="AB19" i="6" s="1"/>
  <c r="AC19" i="6" s="1"/>
  <c r="AD19" i="6" s="1"/>
  <c r="AE19" i="6" s="1"/>
  <c r="AF19" i="6" s="1"/>
  <c r="AG19" i="6" s="1"/>
  <c r="AH19" i="6" s="1"/>
  <c r="AI19" i="6" s="1"/>
  <c r="AK22" i="7"/>
  <c r="G11" i="37"/>
  <c r="X37" i="34" l="1"/>
  <c r="AA36" i="34"/>
  <c r="AB36" i="34"/>
  <c r="Y36" i="34"/>
  <c r="U11" i="14"/>
  <c r="AJ19" i="6"/>
  <c r="AK19" i="6"/>
  <c r="AK20" i="13"/>
  <c r="Q20" i="34"/>
  <c r="R20" i="34" s="1"/>
  <c r="D22" i="8"/>
  <c r="K33" i="34"/>
  <c r="U33" i="34" s="1"/>
  <c r="X38" i="34" l="1"/>
  <c r="Y37" i="34"/>
  <c r="AB37" i="34"/>
  <c r="AA37" i="34"/>
  <c r="AB20" i="34"/>
  <c r="AA20" i="34"/>
  <c r="Y20" i="34"/>
  <c r="D19" i="7"/>
  <c r="E19" i="7" s="1"/>
  <c r="F19" i="7" s="1"/>
  <c r="G19" i="7" s="1"/>
  <c r="H19" i="7" s="1"/>
  <c r="I19" i="7" s="1"/>
  <c r="J19" i="7" s="1"/>
  <c r="K19" i="7" s="1"/>
  <c r="L19" i="7" s="1"/>
  <c r="M19" i="7" s="1"/>
  <c r="N19" i="7" s="1"/>
  <c r="O19" i="7" s="1"/>
  <c r="P19" i="7" s="1"/>
  <c r="Q19" i="7" s="1"/>
  <c r="R19" i="7" s="1"/>
  <c r="S19" i="7" s="1"/>
  <c r="T19" i="7" s="1"/>
  <c r="U19" i="7" s="1"/>
  <c r="V19" i="7" s="1"/>
  <c r="W19" i="7" s="1"/>
  <c r="X19" i="7" s="1"/>
  <c r="Y19" i="7" s="1"/>
  <c r="Z19" i="7" s="1"/>
  <c r="AA19" i="7" s="1"/>
  <c r="AB19" i="7" s="1"/>
  <c r="AC19" i="7" s="1"/>
  <c r="AD19" i="7" s="1"/>
  <c r="AE19" i="7" s="1"/>
  <c r="AF19" i="7" s="1"/>
  <c r="AG19" i="7" s="1"/>
  <c r="AH19" i="7" s="1"/>
  <c r="AI19" i="7" s="1"/>
  <c r="J18" i="34"/>
  <c r="E11" i="37" s="1"/>
  <c r="W20" i="34"/>
  <c r="G12" i="37"/>
  <c r="AK22" i="8"/>
  <c r="X39" i="34" l="1"/>
  <c r="AA38" i="34"/>
  <c r="Y38" i="34"/>
  <c r="AB38" i="34"/>
  <c r="AJ19" i="7"/>
  <c r="U12" i="14"/>
  <c r="AK19" i="7"/>
  <c r="L33" i="34"/>
  <c r="D22" i="9"/>
  <c r="X40" i="34" l="1"/>
  <c r="Y39" i="34"/>
  <c r="AA39" i="34"/>
  <c r="AB39" i="34"/>
  <c r="K18" i="34"/>
  <c r="D19" i="8"/>
  <c r="E19" i="8" s="1"/>
  <c r="F19" i="8" s="1"/>
  <c r="G19" i="8" s="1"/>
  <c r="H19" i="8" s="1"/>
  <c r="I19" i="8" s="1"/>
  <c r="J19" i="8" s="1"/>
  <c r="K19" i="8" s="1"/>
  <c r="L19" i="8" s="1"/>
  <c r="M19" i="8" s="1"/>
  <c r="N19" i="8" s="1"/>
  <c r="O19" i="8" s="1"/>
  <c r="P19" i="8" s="1"/>
  <c r="Q19" i="8" s="1"/>
  <c r="R19" i="8" s="1"/>
  <c r="S19" i="8" s="1"/>
  <c r="T19" i="8" s="1"/>
  <c r="U19" i="8" s="1"/>
  <c r="V19" i="8" s="1"/>
  <c r="W19" i="8" s="1"/>
  <c r="X19" i="8" s="1"/>
  <c r="Y19" i="8" s="1"/>
  <c r="Z19" i="8" s="1"/>
  <c r="AA19" i="8" s="1"/>
  <c r="AB19" i="8" s="1"/>
  <c r="AC19" i="8" s="1"/>
  <c r="AD19" i="8" s="1"/>
  <c r="AE19" i="8" s="1"/>
  <c r="AF19" i="8" s="1"/>
  <c r="AG19" i="8" s="1"/>
  <c r="AH19" i="8" s="1"/>
  <c r="AI19" i="8" s="1"/>
  <c r="G13" i="37"/>
  <c r="AK22" i="9"/>
  <c r="X41" i="34" l="1"/>
  <c r="AA40" i="34"/>
  <c r="Y40" i="34"/>
  <c r="AB40" i="34"/>
  <c r="AJ19" i="8"/>
  <c r="U13" i="14"/>
  <c r="AK19" i="8"/>
  <c r="E12" i="37"/>
  <c r="U18" i="34"/>
  <c r="D22" i="10"/>
  <c r="M33" i="34"/>
  <c r="X42" i="34" l="1"/>
  <c r="O16" i="38"/>
  <c r="AA41" i="34"/>
  <c r="Q16" i="38" s="1"/>
  <c r="Y41" i="34"/>
  <c r="AB41" i="34"/>
  <c r="D19" i="9"/>
  <c r="E19" i="9" s="1"/>
  <c r="F19" i="9" s="1"/>
  <c r="G19" i="9" s="1"/>
  <c r="H19" i="9" s="1"/>
  <c r="I19" i="9" s="1"/>
  <c r="J19" i="9" s="1"/>
  <c r="K19" i="9" s="1"/>
  <c r="L19" i="9" s="1"/>
  <c r="M19" i="9" s="1"/>
  <c r="N19" i="9" s="1"/>
  <c r="O19" i="9" s="1"/>
  <c r="P19" i="9" s="1"/>
  <c r="Q19" i="9" s="1"/>
  <c r="R19" i="9" s="1"/>
  <c r="S19" i="9" s="1"/>
  <c r="T19" i="9" s="1"/>
  <c r="U19" i="9" s="1"/>
  <c r="V19" i="9" s="1"/>
  <c r="W19" i="9" s="1"/>
  <c r="X19" i="9" s="1"/>
  <c r="Y19" i="9" s="1"/>
  <c r="Z19" i="9" s="1"/>
  <c r="AA19" i="9" s="1"/>
  <c r="AB19" i="9" s="1"/>
  <c r="AC19" i="9" s="1"/>
  <c r="AD19" i="9" s="1"/>
  <c r="AE19" i="9" s="1"/>
  <c r="AF19" i="9" s="1"/>
  <c r="AG19" i="9" s="1"/>
  <c r="AH19" i="9" s="1"/>
  <c r="AI19" i="9" s="1"/>
  <c r="L18" i="34"/>
  <c r="E13" i="37" s="1"/>
  <c r="AK22" i="10"/>
  <c r="G14" i="37"/>
  <c r="D21" i="36" l="1"/>
  <c r="F21" i="36"/>
  <c r="O17" i="38"/>
  <c r="X43" i="34"/>
  <c r="Y42" i="34"/>
  <c r="AA42" i="34"/>
  <c r="Q17" i="38" s="1"/>
  <c r="AB42" i="34"/>
  <c r="U14" i="14"/>
  <c r="AJ19" i="9"/>
  <c r="AK19" i="9"/>
  <c r="D22" i="11"/>
  <c r="N33" i="34"/>
  <c r="V33" i="34" s="1"/>
  <c r="D22" i="36" l="1"/>
  <c r="F22" i="36"/>
  <c r="X44" i="34"/>
  <c r="O18" i="38"/>
  <c r="AB43" i="34"/>
  <c r="AA43" i="34"/>
  <c r="Q18" i="38" s="1"/>
  <c r="Y43" i="34"/>
  <c r="M18" i="34"/>
  <c r="E14" i="37" s="1"/>
  <c r="D19" i="10"/>
  <c r="E19" i="10" s="1"/>
  <c r="F19" i="10" s="1"/>
  <c r="G19" i="10" s="1"/>
  <c r="H19" i="10" s="1"/>
  <c r="I19" i="10" s="1"/>
  <c r="J19" i="10" s="1"/>
  <c r="K19" i="10" s="1"/>
  <c r="L19" i="10" s="1"/>
  <c r="M19" i="10" s="1"/>
  <c r="N19" i="10" s="1"/>
  <c r="O19" i="10" s="1"/>
  <c r="P19" i="10" s="1"/>
  <c r="Q19" i="10" s="1"/>
  <c r="R19" i="10" s="1"/>
  <c r="S19" i="10" s="1"/>
  <c r="T19" i="10" s="1"/>
  <c r="U19" i="10" s="1"/>
  <c r="V19" i="10" s="1"/>
  <c r="W19" i="10" s="1"/>
  <c r="X19" i="10" s="1"/>
  <c r="Y19" i="10" s="1"/>
  <c r="Z19" i="10" s="1"/>
  <c r="AA19" i="10" s="1"/>
  <c r="AB19" i="10" s="1"/>
  <c r="AC19" i="10" s="1"/>
  <c r="AD19" i="10" s="1"/>
  <c r="AE19" i="10" s="1"/>
  <c r="AF19" i="10" s="1"/>
  <c r="AG19" i="10" s="1"/>
  <c r="AH19" i="10" s="1"/>
  <c r="AI19" i="10" s="1"/>
  <c r="G15" i="37"/>
  <c r="AK22" i="11"/>
  <c r="D23" i="36" l="1"/>
  <c r="F23" i="36"/>
  <c r="X45" i="34"/>
  <c r="O19" i="38"/>
  <c r="AB44" i="34"/>
  <c r="Y44" i="34"/>
  <c r="AA44" i="34"/>
  <c r="Q19" i="38" s="1"/>
  <c r="U15" i="14"/>
  <c r="AJ19" i="10"/>
  <c r="AK19" i="10"/>
  <c r="O33" i="34"/>
  <c r="D22" i="12"/>
  <c r="F24" i="36" l="1"/>
  <c r="D24" i="36"/>
  <c r="X46" i="34"/>
  <c r="O20" i="38"/>
  <c r="AB45" i="34"/>
  <c r="Y45" i="34"/>
  <c r="AA45" i="34"/>
  <c r="Q20" i="38" s="1"/>
  <c r="N18" i="34"/>
  <c r="D19" i="11"/>
  <c r="E19" i="11" s="1"/>
  <c r="F19" i="11" s="1"/>
  <c r="G19" i="11" s="1"/>
  <c r="H19" i="11" s="1"/>
  <c r="I19" i="11" s="1"/>
  <c r="J19" i="11" s="1"/>
  <c r="K19" i="11" s="1"/>
  <c r="L19" i="11" s="1"/>
  <c r="M19" i="11" s="1"/>
  <c r="N19" i="11" s="1"/>
  <c r="O19" i="11" s="1"/>
  <c r="P19" i="11" s="1"/>
  <c r="Q19" i="11" s="1"/>
  <c r="R19" i="11" s="1"/>
  <c r="S19" i="11" s="1"/>
  <c r="T19" i="11" s="1"/>
  <c r="U19" i="11" s="1"/>
  <c r="V19" i="11" s="1"/>
  <c r="W19" i="11" s="1"/>
  <c r="X19" i="11" s="1"/>
  <c r="Y19" i="11" s="1"/>
  <c r="Z19" i="11" s="1"/>
  <c r="AA19" i="11" s="1"/>
  <c r="AB19" i="11" s="1"/>
  <c r="AC19" i="11" s="1"/>
  <c r="AD19" i="11" s="1"/>
  <c r="AE19" i="11" s="1"/>
  <c r="AF19" i="11" s="1"/>
  <c r="AG19" i="11" s="1"/>
  <c r="AH19" i="11" s="1"/>
  <c r="AI19" i="11" s="1"/>
  <c r="AK22" i="12"/>
  <c r="G16" i="37"/>
  <c r="F25" i="36" l="1"/>
  <c r="D25" i="36"/>
  <c r="O21" i="38"/>
  <c r="X47" i="34"/>
  <c r="Y46" i="34"/>
  <c r="AB46" i="34"/>
  <c r="AA46" i="34"/>
  <c r="Q21" i="38" s="1"/>
  <c r="AJ19" i="11"/>
  <c r="AK19" i="11"/>
  <c r="U16" i="14"/>
  <c r="E15" i="37"/>
  <c r="V18" i="34"/>
  <c r="D22" i="13"/>
  <c r="P33" i="34"/>
  <c r="D26" i="36" l="1"/>
  <c r="F26" i="36"/>
  <c r="X48" i="34"/>
  <c r="O22" i="38"/>
  <c r="AB47" i="34"/>
  <c r="Y47" i="34"/>
  <c r="AA47" i="34"/>
  <c r="Q22" i="38" s="1"/>
  <c r="D19" i="12"/>
  <c r="E19" i="12" s="1"/>
  <c r="F19" i="12" s="1"/>
  <c r="G19" i="12" s="1"/>
  <c r="H19" i="12" s="1"/>
  <c r="I19" i="12" s="1"/>
  <c r="J19" i="12" s="1"/>
  <c r="K19" i="12" s="1"/>
  <c r="L19" i="12" s="1"/>
  <c r="M19" i="12" s="1"/>
  <c r="N19" i="12" s="1"/>
  <c r="O19" i="12" s="1"/>
  <c r="P19" i="12" s="1"/>
  <c r="Q19" i="12" s="1"/>
  <c r="R19" i="12" s="1"/>
  <c r="S19" i="12" s="1"/>
  <c r="T19" i="12" s="1"/>
  <c r="U19" i="12" s="1"/>
  <c r="V19" i="12" s="1"/>
  <c r="W19" i="12" s="1"/>
  <c r="X19" i="12" s="1"/>
  <c r="Y19" i="12" s="1"/>
  <c r="Z19" i="12" s="1"/>
  <c r="AA19" i="12" s="1"/>
  <c r="AB19" i="12" s="1"/>
  <c r="AC19" i="12" s="1"/>
  <c r="AD19" i="12" s="1"/>
  <c r="AE19" i="12" s="1"/>
  <c r="AF19" i="12" s="1"/>
  <c r="AG19" i="12" s="1"/>
  <c r="AH19" i="12" s="1"/>
  <c r="AI19" i="12" s="1"/>
  <c r="O18" i="34"/>
  <c r="E16" i="37" s="1"/>
  <c r="G17" i="37"/>
  <c r="AK22" i="13"/>
  <c r="F27" i="36" l="1"/>
  <c r="D27" i="36"/>
  <c r="O23" i="38"/>
  <c r="X49" i="34"/>
  <c r="Y48" i="34"/>
  <c r="AA48" i="34"/>
  <c r="Q23" i="38" s="1"/>
  <c r="AB48" i="34"/>
  <c r="AK19" i="12"/>
  <c r="U17" i="14"/>
  <c r="AJ19" i="12"/>
  <c r="Q33" i="34"/>
  <c r="G18" i="37"/>
  <c r="F28" i="36" l="1"/>
  <c r="D28" i="36"/>
  <c r="O24" i="38"/>
  <c r="X50" i="34"/>
  <c r="Y49" i="34"/>
  <c r="AB49" i="34"/>
  <c r="AA49" i="34"/>
  <c r="Q24" i="38" s="1"/>
  <c r="D19" i="13"/>
  <c r="E19" i="13" s="1"/>
  <c r="F19" i="13" s="1"/>
  <c r="G19" i="13" s="1"/>
  <c r="H19" i="13" s="1"/>
  <c r="I19" i="13" s="1"/>
  <c r="J19" i="13" s="1"/>
  <c r="K19" i="13" s="1"/>
  <c r="L19" i="13" s="1"/>
  <c r="M19" i="13" s="1"/>
  <c r="N19" i="13" s="1"/>
  <c r="O19" i="13" s="1"/>
  <c r="P19" i="13" s="1"/>
  <c r="Q19" i="13" s="1"/>
  <c r="R19" i="13" s="1"/>
  <c r="S19" i="13" s="1"/>
  <c r="T19" i="13" s="1"/>
  <c r="U19" i="13" s="1"/>
  <c r="V19" i="13" s="1"/>
  <c r="W19" i="13" s="1"/>
  <c r="X19" i="13" s="1"/>
  <c r="Y19" i="13" s="1"/>
  <c r="Z19" i="13" s="1"/>
  <c r="AA19" i="13" s="1"/>
  <c r="AB19" i="13" s="1"/>
  <c r="AC19" i="13" s="1"/>
  <c r="AD19" i="13" s="1"/>
  <c r="AE19" i="13" s="1"/>
  <c r="AF19" i="13" s="1"/>
  <c r="AG19" i="13" s="1"/>
  <c r="AH19" i="13" s="1"/>
  <c r="AI19" i="13" s="1"/>
  <c r="P18" i="34"/>
  <c r="E17" i="37" s="1"/>
  <c r="R33" i="34"/>
  <c r="W33" i="34"/>
  <c r="D29" i="36" l="1"/>
  <c r="F29" i="36"/>
  <c r="O25" i="38"/>
  <c r="X51" i="34"/>
  <c r="AA50" i="34"/>
  <c r="Q25" i="38" s="1"/>
  <c r="AB50" i="34"/>
  <c r="Y50" i="34"/>
  <c r="AK19" i="13"/>
  <c r="U18" i="14"/>
  <c r="U19" i="14" s="1"/>
  <c r="U22" i="14" s="1"/>
  <c r="AJ19" i="13"/>
  <c r="Q18" i="34" s="1"/>
  <c r="AA33" i="34"/>
  <c r="Y33" i="34"/>
  <c r="J20" i="39" s="1"/>
  <c r="AB33" i="34"/>
  <c r="D30" i="36" l="1"/>
  <c r="F30" i="36"/>
  <c r="X52" i="34"/>
  <c r="O26" i="38"/>
  <c r="AB51" i="34"/>
  <c r="Y51" i="34"/>
  <c r="AA51" i="34"/>
  <c r="Q26" i="38" s="1"/>
  <c r="R18" i="34"/>
  <c r="E18" i="37"/>
  <c r="W18" i="34"/>
  <c r="F31" i="36" l="1"/>
  <c r="D31" i="36"/>
  <c r="O27" i="38"/>
  <c r="X53" i="34"/>
  <c r="Y52" i="34"/>
  <c r="AB52" i="34"/>
  <c r="AA52" i="34"/>
  <c r="Q27" i="38" s="1"/>
  <c r="AB18" i="34"/>
  <c r="AA18" i="34"/>
  <c r="Y18" i="34"/>
  <c r="J19" i="39" s="1"/>
  <c r="F32" i="36" l="1"/>
  <c r="D32" i="36"/>
  <c r="X54" i="34"/>
  <c r="O28" i="38"/>
  <c r="AB53" i="34"/>
  <c r="AA53" i="34"/>
  <c r="Q28" i="38" s="1"/>
  <c r="Y53" i="34"/>
  <c r="D33" i="36" l="1"/>
  <c r="F33" i="36"/>
  <c r="O29" i="38"/>
  <c r="X55" i="34"/>
  <c r="Y54" i="34"/>
  <c r="AA54" i="34"/>
  <c r="Q29" i="38" s="1"/>
  <c r="AB54" i="34"/>
  <c r="F34" i="36" l="1"/>
  <c r="D34" i="36"/>
  <c r="X56" i="34"/>
  <c r="O30" i="38"/>
  <c r="AB55" i="34"/>
  <c r="Y55" i="34"/>
  <c r="AA55" i="34"/>
  <c r="Q30" i="38" s="1"/>
  <c r="F35" i="36" l="1"/>
  <c r="D35" i="36"/>
  <c r="O31" i="38"/>
  <c r="X57" i="34"/>
  <c r="AA56" i="34"/>
  <c r="Q31" i="38" s="1"/>
  <c r="AB56" i="34"/>
  <c r="Y56" i="34"/>
  <c r="D36" i="36" l="1"/>
  <c r="F36" i="36"/>
  <c r="O32" i="38"/>
  <c r="X58" i="34"/>
  <c r="AA57" i="34"/>
  <c r="Q32" i="38" s="1"/>
  <c r="AB57" i="34"/>
  <c r="Y57" i="34"/>
  <c r="D37" i="36" l="1"/>
  <c r="F37" i="36"/>
  <c r="O33" i="38"/>
  <c r="X59" i="34"/>
  <c r="Y58" i="34"/>
  <c r="AB58" i="34"/>
  <c r="AA58" i="34"/>
  <c r="Q33" i="38" s="1"/>
  <c r="F38" i="36" l="1"/>
  <c r="D38" i="36"/>
  <c r="X60" i="34"/>
  <c r="O34" i="38"/>
  <c r="AA59" i="34"/>
  <c r="Q34" i="38" s="1"/>
  <c r="AB59" i="34"/>
  <c r="Y59" i="34"/>
  <c r="D39" i="36" l="1"/>
  <c r="F39" i="36"/>
  <c r="O35" i="38"/>
  <c r="X61" i="34"/>
  <c r="AB60" i="34"/>
  <c r="Y60" i="34"/>
  <c r="AA60" i="34"/>
  <c r="Q35" i="38" s="1"/>
  <c r="D40" i="36" l="1"/>
  <c r="F40" i="36"/>
  <c r="X62" i="34"/>
  <c r="O36" i="38"/>
  <c r="AA61" i="34"/>
  <c r="Q36" i="38" s="1"/>
  <c r="AB61" i="34"/>
  <c r="Y61" i="34"/>
  <c r="D41" i="36" l="1"/>
  <c r="F41" i="36"/>
  <c r="O37" i="38"/>
  <c r="X63" i="34"/>
  <c r="Y62" i="34"/>
  <c r="AA62" i="34"/>
  <c r="Q37" i="38" s="1"/>
  <c r="AB62" i="34"/>
  <c r="D42" i="36" l="1"/>
  <c r="F42" i="36"/>
  <c r="X64" i="34"/>
  <c r="O38" i="38"/>
  <c r="AA63" i="34"/>
  <c r="Q38" i="38" s="1"/>
  <c r="AB63" i="34"/>
  <c r="Y63" i="34"/>
  <c r="F43" i="36" l="1"/>
  <c r="D43" i="36"/>
  <c r="O39" i="38"/>
  <c r="X65" i="34"/>
  <c r="AA64" i="34"/>
  <c r="Q39" i="38" s="1"/>
  <c r="Y64" i="34"/>
  <c r="AB64" i="34"/>
  <c r="F44" i="36" l="1"/>
  <c r="D44" i="36"/>
  <c r="O40" i="38"/>
  <c r="X66" i="34"/>
  <c r="AA65" i="34"/>
  <c r="Q40" i="38" s="1"/>
  <c r="AB65" i="34"/>
  <c r="Y65" i="34"/>
  <c r="F45" i="36" l="1"/>
  <c r="D45" i="36"/>
  <c r="O41" i="38"/>
  <c r="X67" i="34"/>
  <c r="Y66" i="34"/>
  <c r="AB66" i="34"/>
  <c r="AA66" i="34"/>
  <c r="Q41" i="38" s="1"/>
  <c r="D46" i="36" l="1"/>
  <c r="F46" i="36"/>
  <c r="X68" i="34"/>
  <c r="O42" i="38"/>
  <c r="Y67" i="34"/>
  <c r="AA67" i="34"/>
  <c r="Q42" i="38" s="1"/>
  <c r="AB67" i="34"/>
  <c r="F47" i="36" l="1"/>
  <c r="D47" i="36"/>
  <c r="O43" i="38"/>
  <c r="X69" i="34"/>
  <c r="AB68" i="34"/>
  <c r="AA68" i="34"/>
  <c r="Q43" i="38" s="1"/>
  <c r="Y68" i="34"/>
  <c r="F48" i="36" l="1"/>
  <c r="D48" i="36"/>
  <c r="X70" i="34"/>
  <c r="O44" i="38"/>
  <c r="Y69" i="34"/>
  <c r="AA69" i="34"/>
  <c r="Q44" i="38" s="1"/>
  <c r="AB69" i="34"/>
  <c r="D49" i="36" l="1"/>
  <c r="F49" i="36"/>
  <c r="O45" i="38"/>
  <c r="X71" i="34"/>
  <c r="Y70" i="34"/>
  <c r="AA70" i="34"/>
  <c r="Q45" i="38" s="1"/>
  <c r="AB70" i="34"/>
  <c r="F50" i="36" l="1"/>
  <c r="D50" i="36"/>
  <c r="X72" i="34"/>
  <c r="O46" i="38"/>
  <c r="AB71" i="34"/>
  <c r="AA71" i="34"/>
  <c r="Q46" i="38" s="1"/>
  <c r="Y71" i="34"/>
  <c r="F51" i="36" l="1"/>
  <c r="D51" i="36"/>
  <c r="O47" i="38"/>
  <c r="X73" i="34"/>
  <c r="AA72" i="34"/>
  <c r="Q47" i="38" s="1"/>
  <c r="Y72" i="34"/>
  <c r="AB72" i="34"/>
  <c r="F52" i="36" l="1"/>
  <c r="D52" i="36"/>
  <c r="O48" i="38"/>
  <c r="X74" i="34"/>
  <c r="AB73" i="34"/>
  <c r="AA73" i="34"/>
  <c r="Q48" i="38" s="1"/>
  <c r="Y73" i="34"/>
  <c r="F53" i="36" l="1"/>
  <c r="D53" i="36"/>
  <c r="O49" i="38"/>
  <c r="X75" i="34"/>
  <c r="AA74" i="34"/>
  <c r="Q49" i="38" s="1"/>
  <c r="AB74" i="34"/>
  <c r="Y74" i="34"/>
  <c r="F54" i="36" l="1"/>
  <c r="D54" i="36"/>
  <c r="X76" i="34"/>
  <c r="O50" i="38"/>
  <c r="AA75" i="34"/>
  <c r="Q50" i="38" s="1"/>
  <c r="AB75" i="34"/>
  <c r="Y75" i="34"/>
  <c r="D55" i="36" l="1"/>
  <c r="F55" i="36"/>
  <c r="O51" i="38"/>
  <c r="X77" i="34"/>
  <c r="Y76" i="34"/>
  <c r="AA76" i="34"/>
  <c r="Q51" i="38" s="1"/>
  <c r="AB76" i="34"/>
  <c r="D56" i="36" l="1"/>
  <c r="F56" i="36"/>
  <c r="O52" i="38"/>
  <c r="X78" i="34"/>
  <c r="AB77" i="34"/>
  <c r="AA77" i="34"/>
  <c r="Q52" i="38" s="1"/>
  <c r="Y77" i="34"/>
  <c r="F57" i="36" l="1"/>
  <c r="D57" i="36"/>
  <c r="O53" i="38"/>
  <c r="X79" i="34"/>
  <c r="Y78" i="34"/>
  <c r="AB78" i="34"/>
  <c r="AA78" i="34"/>
  <c r="Q53" i="38" s="1"/>
  <c r="F58" i="36" l="1"/>
  <c r="D58" i="36"/>
  <c r="X80" i="34"/>
  <c r="O54" i="38"/>
  <c r="AB79" i="34"/>
  <c r="AA79" i="34"/>
  <c r="Q54" i="38" s="1"/>
  <c r="Y79" i="34"/>
  <c r="F59" i="36" l="1"/>
  <c r="D59" i="36"/>
  <c r="O55" i="38"/>
  <c r="X81" i="34"/>
  <c r="AB80" i="34"/>
  <c r="Y80" i="34"/>
  <c r="AA80" i="34"/>
  <c r="Q55" i="38" s="1"/>
  <c r="F60" i="36" l="1"/>
  <c r="D60" i="36"/>
  <c r="X82" i="34"/>
  <c r="O56" i="38"/>
  <c r="AB81" i="34"/>
  <c r="AA81" i="34"/>
  <c r="Q56" i="38" s="1"/>
  <c r="Y81" i="34"/>
  <c r="D61" i="36" l="1"/>
  <c r="F61" i="36"/>
  <c r="O57" i="38"/>
  <c r="X83" i="34"/>
  <c r="AA82" i="34"/>
  <c r="Q57" i="38" s="1"/>
  <c r="Y82" i="34"/>
  <c r="AB82" i="34"/>
  <c r="F62" i="36" l="1"/>
  <c r="D62" i="36"/>
  <c r="X84" i="34"/>
  <c r="O58" i="38"/>
  <c r="AA83" i="34"/>
  <c r="Q58" i="38" s="1"/>
  <c r="Y83" i="34"/>
  <c r="AB83" i="34"/>
  <c r="D63" i="36" l="1"/>
  <c r="F63" i="36"/>
  <c r="X85" i="34"/>
  <c r="X86" i="34" s="1"/>
  <c r="X87" i="34" s="1"/>
  <c r="X88" i="34" s="1"/>
  <c r="X89" i="34" s="1"/>
  <c r="X90" i="34" s="1"/>
  <c r="X91" i="34" s="1"/>
  <c r="X92" i="34" s="1"/>
  <c r="X93" i="34" s="1"/>
  <c r="X94" i="34" s="1"/>
  <c r="X95" i="34" s="1"/>
  <c r="X96" i="34" s="1"/>
  <c r="X97" i="34" s="1"/>
  <c r="X98" i="34" s="1"/>
  <c r="X99" i="34" s="1"/>
  <c r="X100" i="34" s="1"/>
  <c r="X101" i="34" s="1"/>
  <c r="X102" i="34" s="1"/>
  <c r="X103" i="34" s="1"/>
  <c r="X104" i="34" s="1"/>
  <c r="X105" i="34" s="1"/>
  <c r="X106" i="34" s="1"/>
  <c r="X107" i="34" s="1"/>
  <c r="X108" i="34" s="1"/>
  <c r="X109" i="34" s="1"/>
  <c r="X110" i="34" s="1"/>
  <c r="X111" i="34" s="1"/>
  <c r="X112" i="34" s="1"/>
  <c r="X113" i="34" s="1"/>
  <c r="X114" i="34" s="1"/>
  <c r="X115" i="34" s="1"/>
  <c r="X116" i="34" s="1"/>
  <c r="O59" i="38"/>
  <c r="AA84" i="34"/>
  <c r="Q59" i="38" s="1"/>
  <c r="Y84" i="34"/>
  <c r="AB84" i="34"/>
  <c r="F64" i="36" l="1"/>
  <c r="D64" i="36"/>
  <c r="O7" i="41"/>
  <c r="X117" i="34"/>
  <c r="AC116" i="34"/>
  <c r="Q7" i="41" s="1"/>
  <c r="G9" i="41" s="1"/>
  <c r="Y116" i="34"/>
  <c r="AB116" i="34"/>
  <c r="AA116" i="34"/>
  <c r="X118" i="34" l="1"/>
  <c r="O8" i="41"/>
  <c r="AB117" i="34"/>
  <c r="AA117" i="34"/>
  <c r="AC117" i="34"/>
  <c r="Q8" i="41" s="1"/>
  <c r="G10" i="41" s="1"/>
  <c r="Y117" i="34"/>
  <c r="X119" i="34" l="1"/>
  <c r="O9" i="41"/>
  <c r="AC118" i="34"/>
  <c r="Q9" i="41" s="1"/>
  <c r="G11" i="41" s="1"/>
  <c r="AA118" i="34"/>
  <c r="AB118" i="34"/>
  <c r="Y118" i="34"/>
  <c r="X120" i="34" l="1"/>
  <c r="O10" i="41"/>
  <c r="AB119" i="34"/>
  <c r="Y119" i="34"/>
  <c r="AC119" i="34"/>
  <c r="Q10" i="41" s="1"/>
  <c r="G12" i="41" s="1"/>
  <c r="AA119" i="34"/>
  <c r="O11" i="41" l="1"/>
  <c r="X121" i="34"/>
  <c r="AB120" i="34"/>
  <c r="AC120" i="34"/>
  <c r="Q11" i="41" s="1"/>
  <c r="G13" i="41" s="1"/>
  <c r="Y120" i="34"/>
  <c r="AA120" i="34"/>
  <c r="X122" i="34" l="1"/>
  <c r="O12" i="41"/>
  <c r="Y121" i="34"/>
  <c r="AC121" i="34"/>
  <c r="Q12" i="41" s="1"/>
  <c r="G14" i="41" s="1"/>
  <c r="AA121" i="34"/>
  <c r="AB121" i="34"/>
  <c r="X123" i="34" l="1"/>
  <c r="O13" i="41"/>
  <c r="AA122" i="34"/>
  <c r="AB122" i="34"/>
  <c r="Y122" i="34"/>
  <c r="AC122" i="34"/>
  <c r="Q13" i="41" s="1"/>
  <c r="G15" i="41" s="1"/>
  <c r="X124" i="34" l="1"/>
  <c r="O14" i="41"/>
  <c r="AC123" i="34"/>
  <c r="Q14" i="41" s="1"/>
  <c r="G16" i="41" s="1"/>
  <c r="AB123" i="34"/>
  <c r="Y123" i="34"/>
  <c r="AA123" i="34"/>
  <c r="O16" i="41" l="1"/>
  <c r="X125" i="34"/>
  <c r="AC124" i="34"/>
  <c r="Q16" i="41" s="1"/>
  <c r="G48" i="41" s="1"/>
  <c r="Y124" i="34"/>
  <c r="AB124" i="34"/>
  <c r="AA124" i="34"/>
  <c r="O17" i="41" l="1"/>
  <c r="X126" i="34"/>
  <c r="AB125" i="34"/>
  <c r="AA125" i="34"/>
  <c r="Y125" i="34"/>
  <c r="AC125" i="34"/>
  <c r="Q17" i="41" s="1"/>
  <c r="G49" i="41" s="1"/>
  <c r="X127" i="34" l="1"/>
  <c r="O18" i="41"/>
  <c r="AA126" i="34"/>
  <c r="AB126" i="34"/>
  <c r="AC126" i="34"/>
  <c r="Q18" i="41" s="1"/>
  <c r="G50" i="41" s="1"/>
  <c r="Y126" i="34"/>
  <c r="O19" i="41" l="1"/>
  <c r="AA127" i="34"/>
  <c r="Y127" i="34"/>
  <c r="AC127" i="34"/>
  <c r="Q19" i="41" s="1"/>
  <c r="G51" i="41" s="1"/>
  <c r="AB127" i="34"/>
</calcChain>
</file>

<file path=xl/sharedStrings.xml><?xml version="1.0" encoding="utf-8"?>
<sst xmlns="http://schemas.openxmlformats.org/spreadsheetml/2006/main" count="1628" uniqueCount="566">
  <si>
    <t>Startseite</t>
  </si>
  <si>
    <r>
      <t>FAQ</t>
    </r>
    <r>
      <rPr>
        <sz val="10"/>
        <rFont val="Arial"/>
        <family val="2"/>
      </rPr>
      <t>, Tipps, Hilfe, Kauf, Sinn und Zweck</t>
    </r>
  </si>
  <si>
    <t>Personalangaben (einmalig)</t>
  </si>
  <si>
    <t>Feier- und Freitage (einmalig)</t>
  </si>
  <si>
    <t>Arbeitsgebiete (bei Bedarf)</t>
  </si>
  <si>
    <r>
      <t>zur Eingabe der Arbeitszeit</t>
    </r>
    <r>
      <rPr>
        <sz val="10"/>
        <rFont val="Arial"/>
        <family val="2"/>
      </rPr>
      <t xml:space="preserve"> (regelmässig)</t>
    </r>
  </si>
  <si>
    <t>Das Tool für konstruktive Mitarbeitergespräche.</t>
  </si>
  <si>
    <r>
      <t>zu den Berichten</t>
    </r>
    <r>
      <rPr>
        <sz val="10"/>
        <rFont val="Arial"/>
        <family val="2"/>
      </rPr>
      <t xml:space="preserve"> (bei Bedarf)</t>
    </r>
  </si>
  <si>
    <t>aktuelle Situation (Monatsberichte)</t>
  </si>
  <si>
    <t>Zeitaufteilung in einzelne Aufgaben (Grafik)</t>
  </si>
  <si>
    <t>Verlauf der Überstunden / Minderstunden (Grafik)</t>
  </si>
  <si>
    <t>Stellenprozente und Stellenplanung</t>
  </si>
  <si>
    <t>Jahresübersicht</t>
  </si>
  <si>
    <t>Zählung bestimmter Ereignisse</t>
  </si>
  <si>
    <t>?: Tipps, Hilfe, Kauf, Sinn und Zweck</t>
  </si>
  <si>
    <t>Zu folgenden Stichworten bestehen Hilfstexte: (anklicken oder scrollen)</t>
  </si>
  <si>
    <r>
      <t xml:space="preserve">Wichtigste Neuerungen in der Version 2012:
</t>
    </r>
    <r>
      <rPr>
        <sz val="10"/>
        <rFont val="Arial"/>
        <family val="2"/>
      </rPr>
      <t>Einige Formeln im Hintergrund wurden optimiert und damit gewisse Probleme im Zusammenhang mit Änderungen des Anstellungsgrades behoben.
Der Ferienanspruch wurde dem Art. 40 der ab 13.12.2001 gültigen Besoldungsverordnung der Katholischen Landeskirche des Kantons Thurgau angepasst.
Im Bericht C wird neu auch das Ferienguthaben am Ende der Monate eingeblendet.
Im Bericht D werden neben den Stellen-% auch die Stundenzahlen ausgewiesen.</t>
    </r>
  </si>
  <si>
    <t>Sinn und Zweck von ClearTime</t>
  </si>
  <si>
    <r>
      <t xml:space="preserve">ClearTime ist eine simple "Rechnungsmaschine". Sie erspart den Anwendern ein mühsames Zusammenzählen. Ziel der Anwendung ist, für die Planung der eigenen Arbeit und für konstruktive Mitarbeitergespräche mit Vorgesetzten eine gute Grundlage zu besitzen.
Was ClearTime </t>
    </r>
    <r>
      <rPr>
        <sz val="10"/>
        <color indexed="10"/>
        <rFont val="Arial"/>
        <family val="2"/>
      </rPr>
      <t>NICHT</t>
    </r>
    <r>
      <rPr>
        <sz val="10"/>
        <rFont val="Arial"/>
        <family val="2"/>
      </rPr>
      <t xml:space="preserve"> kann:
Die Arbeitszeiterfassung lässt weder schneller, noch effizienter arbeiten. Probleme der Zusammenarbeit und mangelndes Vertrauen in Mitarbeiter verschwinden nicht durch ClearTime. Herausforderungen dieser Art müssen anders angegangen werden.
</t>
    </r>
  </si>
  <si>
    <t>Ausdruck von Berichten und Blättern</t>
  </si>
  <si>
    <t>Um einzelne Berichte oder Blätter auszudrucken ist die Excel-Druckfunktion zu nutzen.</t>
  </si>
  <si>
    <r>
      <t xml:space="preserve">Wählen Sie im Menü </t>
    </r>
    <r>
      <rPr>
        <i/>
        <sz val="10"/>
        <rFont val="Arial"/>
        <family val="2"/>
      </rPr>
      <t>Datei</t>
    </r>
    <r>
      <rPr>
        <sz val="10"/>
        <rFont val="Arial"/>
        <family val="2"/>
      </rPr>
      <t xml:space="preserve"> die Funktion </t>
    </r>
    <r>
      <rPr>
        <i/>
        <sz val="10"/>
        <rFont val="Arial"/>
        <family val="2"/>
      </rPr>
      <t>Drucken</t>
    </r>
    <r>
      <rPr>
        <sz val="10"/>
        <rFont val="Arial"/>
        <family val="2"/>
      </rPr>
      <t xml:space="preserve"> (oder den entsprechenden Weg ihrer Excel-Version)</t>
    </r>
  </si>
  <si>
    <t>Basiszeit: Wie wird sie eingetragen?</t>
  </si>
  <si>
    <t>Basiszeit-Einträge in den Monatsblättern erfordern keine zusätzlichen Eingaben im oberen Bereich des Blattes.</t>
  </si>
  <si>
    <t>Beispiel:
Bei Krankheit genügt ein Eintrag von 8:24 in der Zeile "Krankheit".</t>
  </si>
  <si>
    <t>Basiszeit: Was ist darunter zu verstehen?</t>
  </si>
  <si>
    <t>Unter "Kurzabsenzen" können bewilligte Abwesenheiten wie z.B. ein nicht verschiebbarer Arzttermin eingetragen werden.
Unter "bezahlter Urlaub" werden Abwesenheiten eingetragen, die gemäss Personalrecht vom Arbeitgeber besoldet werden wie z.B. beim Todesfall eines Elternteils, bei einem Umzug oder bei Mutterschaftsurlaub.</t>
  </si>
  <si>
    <r>
      <t>Tipp:</t>
    </r>
    <r>
      <rPr>
        <sz val="10"/>
        <rFont val="Arial"/>
        <family val="2"/>
      </rPr>
      <t xml:space="preserve">
Bei der Stellenplanung wird gerne die Zeit für Ferien und Weiterbildung vergessen (Basiszeit). Zudem ist bei der Planung zu beachten, dass viele kirchliche Anstellungen Spielraum für Unvorhergesehenes aufweisen müssen.</t>
    </r>
  </si>
  <si>
    <t>Anstellungsbeginn im Laufe des Jahres</t>
  </si>
  <si>
    <r>
      <t xml:space="preserve">Bei Anstellungsbeginn im Laufe des Jahres werden auf </t>
    </r>
    <r>
      <rPr>
        <i/>
        <sz val="10"/>
        <rFont val="Arial"/>
        <family val="2"/>
      </rPr>
      <t>Blatt 1: Personalangaben</t>
    </r>
    <r>
      <rPr>
        <sz val="10"/>
        <rFont val="Arial"/>
        <family val="2"/>
      </rPr>
      <t xml:space="preserve"> unter </t>
    </r>
    <r>
      <rPr>
        <i/>
        <sz val="10"/>
        <rFont val="Arial"/>
        <family val="2"/>
      </rPr>
      <t>Beschäftigungsgrad im Jahresverlauf</t>
    </r>
    <r>
      <rPr>
        <sz val="10"/>
        <rFont val="Arial"/>
        <family val="2"/>
      </rPr>
      <t xml:space="preserve"> und </t>
    </r>
    <r>
      <rPr>
        <i/>
        <sz val="10"/>
        <rFont val="Arial"/>
        <family val="2"/>
      </rPr>
      <t>Arbeitszeitaufteilung im Wochenverlauf</t>
    </r>
    <r>
      <rPr>
        <sz val="10"/>
        <rFont val="Arial"/>
        <family val="2"/>
      </rPr>
      <t xml:space="preserve"> statt dem 1. Januar spätere Termine eingetragen.</t>
    </r>
  </si>
  <si>
    <r>
      <t>zu beachten:</t>
    </r>
    <r>
      <rPr>
        <sz val="10"/>
        <rFont val="Arial"/>
        <family val="2"/>
      </rPr>
      <t xml:space="preserve">
Es dürfen in den beiden Tabellen nur erste und letzte Tage von Monaten eingegeben werden. Anstellungsbeginne innerhalb einzelner Monate sind nicht erlaubt und führen zu Fehlfunktionen.</t>
    </r>
  </si>
  <si>
    <t>Anstellungsgrad: Wie werden Änderungen im Laufe des Jahres eingetragen?</t>
  </si>
  <si>
    <r>
      <t xml:space="preserve">Ändert sich der Anstellungsgrad innerhalb des Jahres, so werden auf </t>
    </r>
    <r>
      <rPr>
        <i/>
        <sz val="10"/>
        <rFont val="Arial"/>
        <family val="2"/>
      </rPr>
      <t>Blatt 1: Personalangaben</t>
    </r>
    <r>
      <rPr>
        <sz val="10"/>
        <rFont val="Arial"/>
        <family val="2"/>
      </rPr>
      <t xml:space="preserve"> unter </t>
    </r>
    <r>
      <rPr>
        <i/>
        <sz val="10"/>
        <rFont val="Arial"/>
        <family val="2"/>
      </rPr>
      <t>Beschäftigungsgrad im Jahresverlauf</t>
    </r>
    <r>
      <rPr>
        <sz val="10"/>
        <rFont val="Arial"/>
        <family val="2"/>
      </rPr>
      <t xml:space="preserve"> und </t>
    </r>
    <r>
      <rPr>
        <i/>
        <sz val="10"/>
        <rFont val="Arial"/>
        <family val="2"/>
      </rPr>
      <t>Arbeitszeitaufteilung im Wochenverlauf</t>
    </r>
    <r>
      <rPr>
        <sz val="10"/>
        <rFont val="Arial"/>
        <family val="2"/>
      </rPr>
      <t xml:space="preserve"> entsprechende Änderungen vorgenommen.
SOLL-Arbeitszeit, Ferienguthaben usw. werden von ClearTime automatisch angepasst.</t>
    </r>
  </si>
  <si>
    <r>
      <t>zu beachten:</t>
    </r>
    <r>
      <rPr>
        <sz val="10"/>
        <rFont val="Arial"/>
        <family val="2"/>
      </rPr>
      <t xml:space="preserve">
Es dürfen in den beiden Tabellen nur erste und letzte Tage von Monaten eingegeben werden. Termine innerhalb einzelner Monate sind nicht erlaubt und führen zu Fehlfunktionen.</t>
    </r>
  </si>
  <si>
    <t>Arbeitszeit-Saldo: Beobachtung der künftigen Entwicklung</t>
  </si>
  <si>
    <t>Um zu beobachten, wie sich der Arbeitszeit-Saldo in nächster Zeit entwickelt, müssen an den entsprechenden Arbeitstagen Einträge vorhanden sein.</t>
  </si>
  <si>
    <t>Beispiel:
Am 14. Juli interessiert die Frage, wie sich der Arbeitszeit-Saldo entwickeln wird, wenn  bis Ende Juli nicht mehr gearbeitet werden würde.
Lösung: An den Tagen mit SOLL-Arbeitszeit wird z.B. in der Zeile bezahlter Urlaub 0:00 eingetragen. Dadurch wird der AZ-Saldo an diesen Tagen ausgewiesen.</t>
  </si>
  <si>
    <t>Nutzungsrecht</t>
  </si>
  <si>
    <r>
      <t xml:space="preserve">Das Programm kann von Mitarbeitenden der Evang.-ref. Landeskirche des Kantons Zürich gratis verwendet werden.
Auch bei Personen aus anderen Landeskirchen und Institutionen oder Privatpersonen wird kein Beitrag mehr erhoben. </t>
    </r>
    <r>
      <rPr>
        <b/>
        <sz val="10"/>
        <color rgb="FFFF0000"/>
        <rFont val="Arial"/>
        <family val="2"/>
      </rPr>
      <t>Die ClearTime wird für das Jahr 2020 das letzte Mal zur Verfügung gestellt. Ab 2021 wird es von der eigenen Institution aktualisiert.</t>
    </r>
  </si>
  <si>
    <t>Technische Voraussetzungen</t>
  </si>
  <si>
    <t xml:space="preserve">ClearTime setzt das Programm Microsoft Excel voraus und eine Bildschirmauflösung von 1024x768 Punkten, damit alle Inhalte gut sichtbar angezeigt werden.
Bei älteren Excel-Versionen oder der Verwendung auf Mac's können Probleme auftauchen. </t>
  </si>
  <si>
    <t>Die Landeskirche leistet keinen Support.</t>
  </si>
  <si>
    <t>Format der Eingaben</t>
  </si>
  <si>
    <r>
      <t xml:space="preserve">Alle Zeit-Einträge </t>
    </r>
    <r>
      <rPr>
        <sz val="10"/>
        <color indexed="10"/>
        <rFont val="Arial"/>
        <family val="2"/>
      </rPr>
      <t>müssen</t>
    </r>
    <r>
      <rPr>
        <sz val="10"/>
        <rFont val="Arial"/>
        <family val="2"/>
      </rPr>
      <t xml:space="preserve"> in Stunden und Minuten erfolgen, getrennt durch einen </t>
    </r>
    <r>
      <rPr>
        <sz val="10"/>
        <color indexed="10"/>
        <rFont val="Arial"/>
        <family val="2"/>
      </rPr>
      <t>Doppelpunkt</t>
    </r>
    <r>
      <rPr>
        <sz val="10"/>
        <rFont val="Arial"/>
        <family val="2"/>
      </rPr>
      <t xml:space="preserve">. Wird versehentlich ein Punkt oder Strichpunkt eingesetzt, erscheint das Rautezeichen (#).
</t>
    </r>
  </si>
  <si>
    <r>
      <t xml:space="preserve">2h werden als </t>
    </r>
    <r>
      <rPr>
        <sz val="10"/>
        <color indexed="12"/>
        <rFont val="Arial"/>
        <family val="2"/>
      </rPr>
      <t>2:00</t>
    </r>
    <r>
      <rPr>
        <sz val="10"/>
        <rFont val="Arial"/>
        <family val="2"/>
      </rPr>
      <t xml:space="preserve"> eingegeben
5 1/2 h werden als </t>
    </r>
    <r>
      <rPr>
        <sz val="10"/>
        <color indexed="12"/>
        <rFont val="Arial"/>
        <family val="2"/>
      </rPr>
      <t>5:30</t>
    </r>
    <r>
      <rPr>
        <sz val="10"/>
        <rFont val="Arial"/>
        <family val="2"/>
      </rPr>
      <t xml:space="preserve"> eingegeben
25 Minuten werden als </t>
    </r>
    <r>
      <rPr>
        <sz val="10"/>
        <color indexed="12"/>
        <rFont val="Arial"/>
        <family val="2"/>
      </rPr>
      <t>0:25</t>
    </r>
    <r>
      <rPr>
        <sz val="10"/>
        <rFont val="Arial"/>
        <family val="2"/>
      </rPr>
      <t xml:space="preserve"> eingegeben
8 Uhr 20 wird als</t>
    </r>
    <r>
      <rPr>
        <sz val="10"/>
        <color indexed="48"/>
        <rFont val="Arial"/>
        <family val="2"/>
      </rPr>
      <t xml:space="preserve"> </t>
    </r>
    <r>
      <rPr>
        <sz val="10"/>
        <color indexed="12"/>
        <rFont val="Arial"/>
        <family val="2"/>
      </rPr>
      <t>8:20</t>
    </r>
    <r>
      <rPr>
        <sz val="10"/>
        <rFont val="Arial"/>
        <family val="2"/>
      </rPr>
      <t xml:space="preserve"> eingegeben</t>
    </r>
  </si>
  <si>
    <t>Eintrag von bezahlten Urlauben, Unfall, Krankheit usw.</t>
  </si>
  <si>
    <t>Jeder Anstellung liegt ein Personalrecht zugrunde, welches die Anrechte auf bezahlten Urlaub und dessen Umfang regelt.</t>
  </si>
  <si>
    <t>Übernahme von "alten" Einträgen in eine neue Datei</t>
  </si>
  <si>
    <r>
      <t xml:space="preserve">Markieren Sie ihre Einträge der "alten Datei". Kopieren Sie die markierten Zellen mit </t>
    </r>
    <r>
      <rPr>
        <sz val="10"/>
        <color indexed="10"/>
        <rFont val="Arial"/>
        <family val="2"/>
      </rPr>
      <t>Ctrl-C</t>
    </r>
    <r>
      <rPr>
        <sz val="10"/>
        <rFont val="Arial"/>
        <family val="2"/>
      </rPr>
      <t xml:space="preserve"> in die Zwischenablage. Gehen Sie zur neuen ClearTime-Datei. Klicken Sie in die erste Zelle des Arbeitsgebietes und fügen Sie mit </t>
    </r>
    <r>
      <rPr>
        <sz val="10"/>
        <color indexed="10"/>
        <rFont val="Arial"/>
        <family val="2"/>
      </rPr>
      <t>Bearbeiten/Inhalte einfügen .../Werte</t>
    </r>
    <r>
      <rPr>
        <sz val="10"/>
        <rFont val="Arial"/>
        <family val="2"/>
      </rPr>
      <t xml:space="preserve"> ihre Bezeichnungen ein.</t>
    </r>
  </si>
  <si>
    <t xml:space="preserve">Ein Verschieben von Einträgen mit der Maus oder das Herausschneiden mit Ctrl-X führt zur Zerstörung von Feldbezügen und macht die Datei unbrauchbar. Falls noch nicht abgespeichert wurde, kann der Fehler mit der Rückgängig-Funktion behoben werden.
</t>
  </si>
  <si>
    <t>Abweichung von 
42-Stunden-Woche</t>
  </si>
  <si>
    <r>
      <t xml:space="preserve">Weicht das vereinbarte Arbeitspensum von der üblichen 42-Stunden-Woche ab, kann die Arbeitszeit über die Eingabe der </t>
    </r>
    <r>
      <rPr>
        <i/>
        <sz val="10"/>
        <color indexed="10"/>
        <rFont val="Arial"/>
        <family val="2"/>
      </rPr>
      <t>Stellenprozente</t>
    </r>
    <r>
      <rPr>
        <sz val="10"/>
        <rFont val="Arial"/>
        <family val="2"/>
      </rPr>
      <t xml:space="preserve"> verändert werden. Das heisst, das Arbeitspensum wird in Bezug zu einer 42-Stunden-Woche gesetzt.
ClearTime passt die Stundenzahlen für </t>
    </r>
    <r>
      <rPr>
        <i/>
        <sz val="10"/>
        <color indexed="10"/>
        <rFont val="Arial"/>
        <family val="2"/>
      </rPr>
      <t>Ferien-</t>
    </r>
    <r>
      <rPr>
        <sz val="10"/>
        <rFont val="Arial"/>
        <family val="2"/>
      </rPr>
      <t xml:space="preserve"> und 
</t>
    </r>
    <r>
      <rPr>
        <i/>
        <sz val="10"/>
        <color indexed="10"/>
        <rFont val="Arial"/>
        <family val="2"/>
      </rPr>
      <t>Feiertags-/Freitage-Anspruch</t>
    </r>
    <r>
      <rPr>
        <sz val="10"/>
        <rFont val="Arial"/>
        <family val="2"/>
      </rPr>
      <t xml:space="preserve"> anschliessend korrekt an.
Eine </t>
    </r>
    <r>
      <rPr>
        <sz val="10"/>
        <color indexed="12"/>
        <rFont val="Arial"/>
        <family val="2"/>
      </rPr>
      <t>41</t>
    </r>
    <r>
      <rPr>
        <sz val="10"/>
        <rFont val="Arial"/>
        <family val="2"/>
      </rPr>
      <t xml:space="preserve">-Stunden-Woche entspricht </t>
    </r>
    <r>
      <rPr>
        <sz val="10"/>
        <color indexed="12"/>
        <rFont val="Arial"/>
        <family val="2"/>
      </rPr>
      <t>97.62%</t>
    </r>
    <r>
      <rPr>
        <sz val="10"/>
        <rFont val="Arial"/>
        <family val="2"/>
      </rPr>
      <t xml:space="preserve"> einer 42-Stunden-Woche.
Eine </t>
    </r>
    <r>
      <rPr>
        <sz val="10"/>
        <color indexed="12"/>
        <rFont val="Arial"/>
        <family val="2"/>
      </rPr>
      <t>50</t>
    </r>
    <r>
      <rPr>
        <sz val="10"/>
        <rFont val="Arial"/>
        <family val="2"/>
      </rPr>
      <t xml:space="preserve">-Stunden-Woche entspricht </t>
    </r>
    <r>
      <rPr>
        <sz val="10"/>
        <color indexed="12"/>
        <rFont val="Arial"/>
        <family val="2"/>
      </rPr>
      <t>119.05%</t>
    </r>
    <r>
      <rPr>
        <sz val="10"/>
        <rFont val="Arial"/>
        <family val="2"/>
      </rPr>
      <t xml:space="preserve"> einer 42-Std.-Woche.
Eine </t>
    </r>
    <r>
      <rPr>
        <sz val="10"/>
        <color indexed="12"/>
        <rFont val="Arial"/>
        <family val="2"/>
      </rPr>
      <t>52</t>
    </r>
    <r>
      <rPr>
        <sz val="10"/>
        <rFont val="Arial"/>
        <family val="2"/>
      </rPr>
      <t xml:space="preserve">-Stunden-Woche entspricht </t>
    </r>
    <r>
      <rPr>
        <sz val="10"/>
        <color indexed="12"/>
        <rFont val="Arial"/>
        <family val="2"/>
      </rPr>
      <t>123.81%</t>
    </r>
    <r>
      <rPr>
        <sz val="10"/>
        <rFont val="Arial"/>
        <family val="2"/>
      </rPr>
      <t xml:space="preserve"> einer 42-Std.-Woche.
Eine </t>
    </r>
    <r>
      <rPr>
        <sz val="10"/>
        <color indexed="12"/>
        <rFont val="Arial"/>
        <family val="2"/>
      </rPr>
      <t>54</t>
    </r>
    <r>
      <rPr>
        <sz val="10"/>
        <rFont val="Arial"/>
        <family val="2"/>
      </rPr>
      <t xml:space="preserve">-Stunden-Woche entspricht </t>
    </r>
    <r>
      <rPr>
        <sz val="10"/>
        <color indexed="12"/>
        <rFont val="Arial"/>
        <family val="2"/>
      </rPr>
      <t>128.57%</t>
    </r>
    <r>
      <rPr>
        <sz val="10"/>
        <rFont val="Arial"/>
        <family val="2"/>
      </rPr>
      <t xml:space="preserve"> einer 42-Std.-Woche.
Eine </t>
    </r>
    <r>
      <rPr>
        <sz val="10"/>
        <color indexed="12"/>
        <rFont val="Arial"/>
        <family val="2"/>
      </rPr>
      <t>56</t>
    </r>
    <r>
      <rPr>
        <sz val="10"/>
        <rFont val="Arial"/>
        <family val="2"/>
      </rPr>
      <t xml:space="preserve">-Stunden-Woche entspricht </t>
    </r>
    <r>
      <rPr>
        <sz val="10"/>
        <color indexed="12"/>
        <rFont val="Arial"/>
        <family val="2"/>
      </rPr>
      <t>133.33%</t>
    </r>
    <r>
      <rPr>
        <sz val="10"/>
        <rFont val="Arial"/>
        <family val="2"/>
      </rPr>
      <t xml:space="preserve"> einer 42-Std.-Woche.
</t>
    </r>
  </si>
  <si>
    <r>
      <t xml:space="preserve">Beispiel:
Ein Pfarrer arbeitet </t>
    </r>
    <r>
      <rPr>
        <sz val="10"/>
        <color indexed="12"/>
        <rFont val="Arial"/>
        <family val="2"/>
      </rPr>
      <t>54 Stunden pro Woche</t>
    </r>
    <r>
      <rPr>
        <sz val="10"/>
        <rFont val="Arial"/>
        <family val="2"/>
      </rPr>
      <t xml:space="preserve"> Eingabe: </t>
    </r>
    <r>
      <rPr>
        <sz val="10"/>
        <color indexed="12"/>
        <rFont val="Arial"/>
        <family val="2"/>
      </rPr>
      <t>128.57</t>
    </r>
    <r>
      <rPr>
        <sz val="10"/>
        <rFont val="Arial"/>
        <family val="2"/>
      </rPr>
      <t xml:space="preserve"> Stellenprozente (in Bezug zur 42-Stunden-Woche).
Hat er zudem eine Anstellung von </t>
    </r>
    <r>
      <rPr>
        <sz val="10"/>
        <color indexed="12"/>
        <rFont val="Arial"/>
        <family val="2"/>
      </rPr>
      <t>70%</t>
    </r>
    <r>
      <rPr>
        <sz val="10"/>
        <rFont val="Arial"/>
        <family val="2"/>
      </rPr>
      <t xml:space="preserve"> als Gemeindepfarrer, ergeben sich so </t>
    </r>
    <r>
      <rPr>
        <sz val="10"/>
        <color indexed="12"/>
        <rFont val="Arial"/>
        <family val="2"/>
      </rPr>
      <t>90</t>
    </r>
    <r>
      <rPr>
        <sz val="10"/>
        <rFont val="Arial"/>
        <family val="2"/>
      </rPr>
      <t xml:space="preserve"> Stellenprozente (in Bezug zur 42-Stunden-Woche).
</t>
    </r>
  </si>
  <si>
    <t>Feiertags-/Freitagsanspruch bei Teilzeitanstellungen</t>
  </si>
  <si>
    <t xml:space="preserve">Der Grundsatz:
Teilzeitangestellte erhalten vom jährlichen Feiertags- / Freitagsanspruch exakt den ihrer Anstellung entsprechenden Teil. Dies erfolgt unabhängig davon, ob sie am betreffenden Feiertag arbeiten oder nicht.
</t>
  </si>
  <si>
    <r>
      <t xml:space="preserve">Beispiel 1:
</t>
    </r>
    <r>
      <rPr>
        <sz val="10"/>
        <color indexed="12"/>
        <rFont val="Arial"/>
        <family val="2"/>
      </rPr>
      <t>Der 1. August fällt auf einen vollen Arbeitstag</t>
    </r>
    <r>
      <rPr>
        <sz val="10"/>
        <rFont val="Arial"/>
        <family val="2"/>
      </rPr>
      <t xml:space="preserve"> von 8:24 einer Person mit </t>
    </r>
    <r>
      <rPr>
        <sz val="10"/>
        <color indexed="12"/>
        <rFont val="Arial"/>
        <family val="2"/>
      </rPr>
      <t>80%</t>
    </r>
    <r>
      <rPr>
        <sz val="10"/>
        <rFont val="Arial"/>
        <family val="2"/>
      </rPr>
      <t xml:space="preserve">-Anstellung.
ClearTime schreibt der Person </t>
    </r>
    <r>
      <rPr>
        <sz val="10"/>
        <color indexed="12"/>
        <rFont val="Arial"/>
        <family val="2"/>
      </rPr>
      <t>6:43</t>
    </r>
    <r>
      <rPr>
        <sz val="10"/>
        <rFont val="Arial"/>
        <family val="2"/>
      </rPr>
      <t xml:space="preserve"> Stunden (=80%) als Feiertags-/Freitags-Anspruch zu Gute. Die fehlenden </t>
    </r>
    <r>
      <rPr>
        <sz val="10"/>
        <color indexed="12"/>
        <rFont val="Arial"/>
        <family val="2"/>
      </rPr>
      <t>1:40</t>
    </r>
    <r>
      <rPr>
        <sz val="10"/>
        <rFont val="Arial"/>
        <family val="2"/>
      </rPr>
      <t xml:space="preserve"> müssen von der Person vor- oder nachgeholt werden. (Diese übers ganze Jahr gesehen faire Lösung wird manchmal vorschnell als "Bschiss" empfunden.)
Beispiel 2:
</t>
    </r>
    <r>
      <rPr>
        <sz val="10"/>
        <color indexed="12"/>
        <rFont val="Arial"/>
        <family val="2"/>
      </rPr>
      <t>Der 1. August fällt auf den arbeitsfreien Tag</t>
    </r>
    <r>
      <rPr>
        <sz val="10"/>
        <rFont val="Arial"/>
        <family val="2"/>
      </rPr>
      <t xml:space="preserve"> einer Person mit </t>
    </r>
    <r>
      <rPr>
        <sz val="10"/>
        <color indexed="12"/>
        <rFont val="Arial"/>
        <family val="2"/>
      </rPr>
      <t>80%</t>
    </r>
    <r>
      <rPr>
        <sz val="10"/>
        <rFont val="Arial"/>
        <family val="2"/>
      </rPr>
      <t xml:space="preserve">-Anstellung.
ClearTime schreibt der Person </t>
    </r>
    <r>
      <rPr>
        <sz val="10"/>
        <color indexed="12"/>
        <rFont val="Arial"/>
        <family val="2"/>
      </rPr>
      <t>6:43</t>
    </r>
    <r>
      <rPr>
        <sz val="10"/>
        <rFont val="Arial"/>
        <family val="2"/>
      </rPr>
      <t xml:space="preserve"> zu Gute, welche von der Person als zusätzliche Freizeit kompensiert werden können. (Diese übers ganze Jahr gesehen faire Lösung wird manchmal vorschnell als "Gschenk" empfunden.)
</t>
    </r>
  </si>
  <si>
    <t>Ausbezahlte Überzeit</t>
  </si>
  <si>
    <t xml:space="preserve">ClearTime bringt die berechneten Arbeitsstunden in keinen Zusammenhang mit deren Besoldung oder Entschädigung. Werden Überstunden ausbezahlt, so wurden diese trotzdem geleistet, was ClearTime ausweist. Soll angeordnete Mehrarbeitszeit effektiv nicht erscheinen, darf sie auch nicht in die Datei eingegeben werden, resp. muss nachträglich gelöscht werden. </t>
  </si>
  <si>
    <r>
      <t xml:space="preserve">Tipp:
</t>
    </r>
    <r>
      <rPr>
        <sz val="10"/>
        <rFont val="Arial"/>
        <family val="2"/>
      </rPr>
      <t>In manchen Fällen ist es sinnvoll, die Datei zum Zeitpunkt ausbezahlter Mehrarbeitszeit abzuschliessen und eine neue Datei mit angepasstem Stundensaldo zu eröffnen.</t>
    </r>
  </si>
  <si>
    <t>1: Personalangaben</t>
  </si>
  <si>
    <t>Abteilung</t>
  </si>
  <si>
    <t>Musterstelle</t>
  </si>
  <si>
    <t>Vorname, Name</t>
  </si>
  <si>
    <t>Max Muster</t>
  </si>
  <si>
    <t>Funktion</t>
  </si>
  <si>
    <t>Muster</t>
  </si>
  <si>
    <t>Jahrgang</t>
  </si>
  <si>
    <t>Ferienwochen pro Jahr</t>
  </si>
  <si>
    <t>Ferienanspruch 4.6 Wochen (23 Arbeitstage) ab dem 20. Altersjahr, er beträgt 5.4 Wochen (27 Arbeitstage)</t>
  </si>
  <si>
    <t xml:space="preserve"> </t>
  </si>
  <si>
    <t>Vorgesetzten E-Mail</t>
  </si>
  <si>
    <t>noch nicht funktionstüchtig</t>
  </si>
  <si>
    <t>kumulierter Ferienanspruch</t>
  </si>
  <si>
    <t>ab Beginn des Kalenderjahres in dem Sie 50 Jahre alt werden § 40 BVO</t>
  </si>
  <si>
    <t>Überträge vom Vorjahr:</t>
  </si>
  <si>
    <t>Beschäftigungsgrad im Jahresverlauf:</t>
  </si>
  <si>
    <t>Mehrarbeitszeit oder Minderstunden (-) in Std:Min</t>
  </si>
  <si>
    <t>0:01</t>
  </si>
  <si>
    <t>Anfang</t>
  </si>
  <si>
    <t>Ende</t>
  </si>
  <si>
    <t>BG %</t>
  </si>
  <si>
    <t>Monate</t>
  </si>
  <si>
    <t>Ferien</t>
  </si>
  <si>
    <t>kumuliert</t>
  </si>
  <si>
    <t>kumul.
BG %</t>
  </si>
  <si>
    <t>Effektiv</t>
  </si>
  <si>
    <t>Empf. 
Arb.zeit</t>
  </si>
  <si>
    <t>Std/Woche</t>
  </si>
  <si>
    <t>nicht bezogene oder zusätzliche Ferien in Std:Min</t>
  </si>
  <si>
    <t>0:00</t>
  </si>
  <si>
    <t>A1</t>
  </si>
  <si>
    <t>A2</t>
  </si>
  <si>
    <t>A3</t>
  </si>
  <si>
    <t>A4</t>
  </si>
  <si>
    <t>Errechnete Werte:</t>
  </si>
  <si>
    <t>(für das laufende Jahr)</t>
  </si>
  <si>
    <t>(inkl. Überträge)</t>
  </si>
  <si>
    <t>A5</t>
  </si>
  <si>
    <t>vereinbarte Soll-Arbeitszeit</t>
  </si>
  <si>
    <t>Std:Min</t>
  </si>
  <si>
    <t>A6</t>
  </si>
  <si>
    <t>Ferienguthaben total</t>
  </si>
  <si>
    <t>A7</t>
  </si>
  <si>
    <t>Feiertagsanspruch</t>
  </si>
  <si>
    <t>A8</t>
  </si>
  <si>
    <t>Stellen-% (Durchschnitt)</t>
  </si>
  <si>
    <t>%</t>
  </si>
  <si>
    <t>A9</t>
  </si>
  <si>
    <t>A10</t>
  </si>
  <si>
    <t>Wechsel Beschäftigungsgrad: Monatsanfang eintragen</t>
  </si>
  <si>
    <t>Vereinbarte Arbeitzeitaufteilung im Wochenverlauf (Regelarbeitszeit):</t>
  </si>
  <si>
    <t>Gültig ab:</t>
  </si>
  <si>
    <t>Sonntag</t>
  </si>
  <si>
    <t>Montag</t>
  </si>
  <si>
    <t>Dienstag</t>
  </si>
  <si>
    <t>Mittwoch</t>
  </si>
  <si>
    <t>Donnerstag</t>
  </si>
  <si>
    <t>Freitag</t>
  </si>
  <si>
    <t>Samstag</t>
  </si>
  <si>
    <t>B1</t>
  </si>
  <si>
    <t>B2</t>
  </si>
  <si>
    <t>B3</t>
  </si>
  <si>
    <t>B4</t>
  </si>
  <si>
    <t>B5</t>
  </si>
  <si>
    <t>B6</t>
  </si>
  <si>
    <t>B7</t>
  </si>
  <si>
    <t>B8</t>
  </si>
  <si>
    <t>B9</t>
  </si>
  <si>
    <t>B10</t>
  </si>
  <si>
    <t>2: Feiertage und Freitage</t>
  </si>
  <si>
    <t>Zu Beachten: Diese Liste muss nach aufsteigendem Datum sortiert sein.</t>
  </si>
  <si>
    <t>Datum</t>
  </si>
  <si>
    <t>Wochentag</t>
  </si>
  <si>
    <t>Arbeitszeit bei 100%</t>
  </si>
  <si>
    <t>Name des Feier- oder Freitages</t>
  </si>
  <si>
    <t>Anspruch bei 100%</t>
  </si>
  <si>
    <t>Saldo</t>
  </si>
  <si>
    <t>Stellen-%</t>
  </si>
  <si>
    <t>Anspruch nach %</t>
  </si>
  <si>
    <t>Saldo des Anspruchs</t>
  </si>
  <si>
    <t>Mi</t>
  </si>
  <si>
    <t>Neujahr</t>
  </si>
  <si>
    <t>Do</t>
  </si>
  <si>
    <t>Berchtoldstag</t>
  </si>
  <si>
    <t>Gründonnerstag</t>
  </si>
  <si>
    <t>Fr</t>
  </si>
  <si>
    <t>Karfreitag</t>
  </si>
  <si>
    <t>Mo</t>
  </si>
  <si>
    <t>Ostermontag</t>
  </si>
  <si>
    <t>Tag der Arbeit</t>
  </si>
  <si>
    <t>Mittwoch vor Auffahrt</t>
  </si>
  <si>
    <t>Auffahrt</t>
  </si>
  <si>
    <t>Pfingstmontag</t>
  </si>
  <si>
    <t>Bundesfeier</t>
  </si>
  <si>
    <t>Heiligabend</t>
  </si>
  <si>
    <t>Weihnacht</t>
  </si>
  <si>
    <t>Stephanstag</t>
  </si>
  <si>
    <t>Silvester</t>
  </si>
  <si>
    <t>3: Arbeitsgebiete und Aufgaben</t>
  </si>
  <si>
    <r>
      <t xml:space="preserve">Sie können 4 Arbeitsgebieten mit insgesamt 44 Aufgaben bezeichnen. </t>
    </r>
    <r>
      <rPr>
        <sz val="10"/>
        <rFont val="Arial"/>
        <family val="2"/>
      </rPr>
      <t>Die Zählbereiche dienen der Erhebung von Ereignissen.</t>
    </r>
  </si>
  <si>
    <t>Arbeitsgebiet A</t>
  </si>
  <si>
    <t>Arbeitsgebiet B</t>
  </si>
  <si>
    <t>Arbeitsgebiet C</t>
  </si>
  <si>
    <t>Arbeitsgebiet D</t>
  </si>
  <si>
    <t>Diverses</t>
  </si>
  <si>
    <t>A01</t>
  </si>
  <si>
    <t>B01</t>
  </si>
  <si>
    <t>C01</t>
  </si>
  <si>
    <t>D01</t>
  </si>
  <si>
    <t>DAG</t>
  </si>
  <si>
    <t>A02</t>
  </si>
  <si>
    <t>B02</t>
  </si>
  <si>
    <t>C02</t>
  </si>
  <si>
    <t>D02</t>
  </si>
  <si>
    <t>Betriebsausflug</t>
  </si>
  <si>
    <t>A03</t>
  </si>
  <si>
    <t>B03</t>
  </si>
  <si>
    <t>C03</t>
  </si>
  <si>
    <t>D03</t>
  </si>
  <si>
    <t>A04</t>
  </si>
  <si>
    <t>B04</t>
  </si>
  <si>
    <t>C04</t>
  </si>
  <si>
    <t>D04</t>
  </si>
  <si>
    <t>A05</t>
  </si>
  <si>
    <t>B05</t>
  </si>
  <si>
    <t>C05</t>
  </si>
  <si>
    <t>D05</t>
  </si>
  <si>
    <t>A06</t>
  </si>
  <si>
    <t>B06</t>
  </si>
  <si>
    <t>C06</t>
  </si>
  <si>
    <t>D06</t>
  </si>
  <si>
    <t>A07</t>
  </si>
  <si>
    <t>B07</t>
  </si>
  <si>
    <t>C07</t>
  </si>
  <si>
    <t>D07</t>
  </si>
  <si>
    <t>A08</t>
  </si>
  <si>
    <t>B08</t>
  </si>
  <si>
    <t>C08</t>
  </si>
  <si>
    <t>D08</t>
  </si>
  <si>
    <t>A09</t>
  </si>
  <si>
    <t>B09</t>
  </si>
  <si>
    <t>A11</t>
  </si>
  <si>
    <t>B11</t>
  </si>
  <si>
    <t>zählen I</t>
  </si>
  <si>
    <t>Basis-Zeit</t>
  </si>
  <si>
    <t>A12</t>
  </si>
  <si>
    <t>B12</t>
  </si>
  <si>
    <t>Z11</t>
  </si>
  <si>
    <t>E01</t>
  </si>
  <si>
    <t>Ferienbezug</t>
  </si>
  <si>
    <t>A13</t>
  </si>
  <si>
    <t>Z12</t>
  </si>
  <si>
    <t>E02</t>
  </si>
  <si>
    <t>Krankheit</t>
  </si>
  <si>
    <t>A14</t>
  </si>
  <si>
    <t>Z13</t>
  </si>
  <si>
    <t>E03</t>
  </si>
  <si>
    <t>Unfall</t>
  </si>
  <si>
    <t>A15</t>
  </si>
  <si>
    <t>zählen II</t>
  </si>
  <si>
    <t>Z14</t>
  </si>
  <si>
    <t>E04</t>
  </si>
  <si>
    <t>Militär / Zivildienst</t>
  </si>
  <si>
    <t>A16</t>
  </si>
  <si>
    <t>Z21</t>
  </si>
  <si>
    <t>Z15</t>
  </si>
  <si>
    <t>E05</t>
  </si>
  <si>
    <t>Weiterbildung</t>
  </si>
  <si>
    <t>Z22</t>
  </si>
  <si>
    <t>Z16</t>
  </si>
  <si>
    <t>E06</t>
  </si>
  <si>
    <t>Unbezahlter Urlaub</t>
  </si>
  <si>
    <t>Z23</t>
  </si>
  <si>
    <t>Z17</t>
  </si>
  <si>
    <t>E07</t>
  </si>
  <si>
    <t>Bezahlter Urlaub</t>
  </si>
  <si>
    <t>Z24</t>
  </si>
  <si>
    <t>Z18</t>
  </si>
  <si>
    <t>E08</t>
  </si>
  <si>
    <t>Kaderarbeitszeit</t>
  </si>
  <si>
    <t>Bericht E: Jahresübersicht</t>
  </si>
  <si>
    <t>Bericht B siehe auch ab Zeile 93</t>
  </si>
  <si>
    <t>Zeilenindex</t>
    <phoneticPr fontId="4" type="noConversion"/>
  </si>
  <si>
    <t>BerichtQuelleA</t>
    <phoneticPr fontId="4" type="noConversion"/>
  </si>
  <si>
    <t>Beschriftung für
BerichtQuelleB</t>
  </si>
  <si>
    <t>BerichtQuelleB</t>
    <phoneticPr fontId="4" type="noConversion"/>
  </si>
  <si>
    <t>BerichtQuelleD</t>
    <phoneticPr fontId="4" type="noConversion"/>
  </si>
  <si>
    <t>BerichtQuelleF</t>
    <phoneticPr fontId="4" type="noConversion"/>
  </si>
  <si>
    <t>Gesamtjahr</t>
  </si>
  <si>
    <t>–</t>
    <phoneticPr fontId="4" type="noConversion"/>
  </si>
  <si>
    <t>Quartal 1</t>
    <phoneticPr fontId="4" type="noConversion"/>
  </si>
  <si>
    <t>Quartal 2</t>
    <phoneticPr fontId="4" type="noConversion"/>
  </si>
  <si>
    <t>Quartal 3</t>
    <phoneticPr fontId="4" type="noConversion"/>
  </si>
  <si>
    <t>Quartal 4</t>
    <phoneticPr fontId="4" type="noConversion"/>
  </si>
  <si>
    <t>Tag</t>
  </si>
  <si>
    <t>Beschäftigungsgrad %</t>
    <phoneticPr fontId="4" type="noConversion"/>
  </si>
  <si>
    <t>ein</t>
  </si>
  <si>
    <t>aus</t>
  </si>
  <si>
    <t>Arbeitszeit (inkl. Basiszeit / Feiertage)</t>
  </si>
  <si>
    <t>SOLL-Arbeitszeit</t>
  </si>
  <si>
    <t>Brutto-SOLL-Arb.zeit</t>
  </si>
  <si>
    <t>A17</t>
  </si>
  <si>
    <t>Mehr-/Minderleistung</t>
  </si>
  <si>
    <t>A18</t>
  </si>
  <si>
    <t>AZ - Saldo</t>
  </si>
  <si>
    <t>A19</t>
  </si>
  <si>
    <t>A20</t>
  </si>
  <si>
    <t>Feiertagssaldo</t>
  </si>
  <si>
    <t>A21</t>
  </si>
  <si>
    <t>Komp.Feiertg.f.Teilzeiter</t>
  </si>
  <si>
    <t>A22</t>
  </si>
  <si>
    <t>Ferienbezug</t>
    <phoneticPr fontId="4" type="noConversion"/>
  </si>
  <si>
    <t>A23</t>
  </si>
  <si>
    <t>Kompens. Arbeitszeit</t>
  </si>
  <si>
    <t>A24</t>
  </si>
  <si>
    <t>Kompens. Überzeit</t>
  </si>
  <si>
    <t>A25</t>
  </si>
  <si>
    <t>A26</t>
  </si>
  <si>
    <t>A27</t>
  </si>
  <si>
    <t>A28</t>
  </si>
  <si>
    <t>Nichtberufsunfall</t>
  </si>
  <si>
    <t>A29</t>
  </si>
  <si>
    <t>A30</t>
  </si>
  <si>
    <t>A31</t>
  </si>
  <si>
    <t>A32</t>
  </si>
  <si>
    <t>A33</t>
  </si>
  <si>
    <t>Ferienguthaben</t>
    <phoneticPr fontId="4" type="noConversion"/>
  </si>
  <si>
    <t>A34</t>
  </si>
  <si>
    <t>D A G</t>
  </si>
  <si>
    <t>A35</t>
  </si>
  <si>
    <t>A36</t>
  </si>
  <si>
    <t>freie Zeile 1</t>
  </si>
  <si>
    <t>A37</t>
  </si>
  <si>
    <t>freie Zeile 2</t>
  </si>
  <si>
    <t>A38</t>
  </si>
  <si>
    <t>freie Zeile 3</t>
  </si>
  <si>
    <t>A39</t>
  </si>
  <si>
    <t>Arbeitszeit aufgeteilt</t>
  </si>
  <si>
    <t>A40</t>
  </si>
  <si>
    <t>nicht/zuviel aufgeteilt</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</si>
  <si>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</si>
  <si>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</si>
  <si>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</si>
  <si>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</si>
  <si>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</si>
  <si>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</si>
  <si>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</si>
  <si>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</si>
  <si>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</si>
  <si>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</si>
  <si>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</si>
  <si>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</si>
  <si>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</si>
  <si>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</si>
  <si>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</si>
  <si>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</si>
  <si>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</si>
  <si>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</si>
  <si>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</si>
  <si>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</si>
  <si>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</si>
  <si>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</si>
  <si>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</si>
  <si>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</si>
  <si>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</si>
  <si>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</si>
  <si>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</si>
  <si>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</si>
  <si>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</si>
  <si>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</si>
  <si>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</si>
  <si>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</si>
  <si>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</si>
  <si>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</si>
  <si>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</si>
  <si>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</si>
  <si>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</si>
  <si>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</si>
  <si>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</si>
  <si>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</si>
  <si>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</si>
  <si>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</si>
  <si>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</si>
  <si>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</si>
  <si>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</si>
  <si>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Bericht A: aktuelle Situation</t>
  </si>
  <si>
    <t>zur Anstellung</t>
  </si>
  <si>
    <r>
      <t>FAQ:</t>
    </r>
    <r>
      <rPr>
        <sz val="10"/>
        <rFont val="Arial"/>
        <family val="2"/>
      </rPr>
      <t xml:space="preserve">
</t>
    </r>
    <r>
      <rPr>
        <b/>
        <sz val="10"/>
        <color indexed="10"/>
        <rFont val="Arial"/>
        <family val="2"/>
      </rPr>
      <t>Wie ändere ich den Berichtsmonat?</t>
    </r>
    <r>
      <rPr>
        <sz val="10"/>
        <rFont val="Arial"/>
        <family val="2"/>
      </rPr>
      <t xml:space="preserve">
Klicken Sie direkt auf den hellgrün unterlegten Monatsnamen im Titel. Es erscheint rechts ein Pfeilsymbol zur Auswahl anderer Berichtsphasen.
</t>
    </r>
    <r>
      <rPr>
        <b/>
        <sz val="10"/>
        <color indexed="10"/>
        <rFont val="Arial"/>
        <family val="2"/>
      </rPr>
      <t>Wie drucke ich einen Bericht aus?</t>
    </r>
    <r>
      <rPr>
        <sz val="10"/>
        <rFont val="Arial"/>
        <family val="2"/>
      </rPr>
      <t xml:space="preserve">
Nutzen Sie die Druckroutine von Excel. (z.B. in Excel 2003 über Menü Datei/Drucken)
</t>
    </r>
    <r>
      <rPr>
        <b/>
        <sz val="10"/>
        <color indexed="10"/>
        <rFont val="Arial"/>
        <family val="2"/>
      </rPr>
      <t>Wie versende ich einen Bericht per Mail?</t>
    </r>
    <r>
      <rPr>
        <sz val="10"/>
        <rFont val="Arial"/>
        <family val="2"/>
      </rPr>
      <t xml:space="preserve">
Erstellen Sie über die Druckroutine eine pdf-Datei, z.B. mit dem kostenlosen Programm FreePDF (Download z.B. über http://www.freepdfxp.de)
Dieses pdf können Sie speichern oder direkt per Mail versenden.
</t>
    </r>
  </si>
  <si>
    <t>aktueller Beschäftigungsgrad (auf Basis einer 42-Stundenwoche)</t>
  </si>
  <si>
    <t>Durchschnittlicher Beschäftigungsgrad im Berichtsjahr</t>
  </si>
  <si>
    <t>SOLL-Arbeitszeit im Berichtsjahr</t>
  </si>
  <si>
    <t>Feiertags- und Freitagsanspruch im Berichtsjahr</t>
  </si>
  <si>
    <t>Ferienanspruch im Berichtsjahr</t>
  </si>
  <si>
    <t>zusätzlich verrechnet werden:</t>
  </si>
  <si>
    <t>Bewilligte Mehrarbeitszeit/Minderstunden aus dem Vorjahr</t>
  </si>
  <si>
    <t>Aus dem Vorjahr übernommenes oder zusätzliches Ferienguthaben</t>
  </si>
  <si>
    <t>geleistete Arbeitszeit (inkl. Basiszeit / Feiertagsanspruch)</t>
  </si>
  <si>
    <t>1: Basiszeit</t>
  </si>
  <si>
    <t>=WENN(P14&gt;0;VERKETTEN(RUNDEN(100/$O$7*P14/100*BG;0.5);" Stellenprozente");"-                    ")</t>
  </si>
  <si>
    <t>Summe</t>
  </si>
  <si>
    <t>Bericht B: Zeitaufteilung in einzelne Aufgaben</t>
  </si>
  <si>
    <t>Aufteilung der Arbeitszeit auf einzelne Aufgaben</t>
  </si>
  <si>
    <t>bereinigte Qelle für Bericht B</t>
  </si>
  <si>
    <t>Bericht C: Verlauf der Überstunden / Minderstunden</t>
  </si>
  <si>
    <t>Saldoverlauf</t>
  </si>
  <si>
    <t>Über-/Minderstunden</t>
  </si>
  <si>
    <t>Ferienanspruch</t>
  </si>
  <si>
    <t>Vorjahr</t>
  </si>
  <si>
    <r>
      <t>Vorjahr</t>
    </r>
    <r>
      <rPr>
        <sz val="10"/>
        <rFont val="Arial"/>
        <family val="2"/>
      </rPr>
      <t>:</t>
    </r>
  </si>
  <si>
    <r>
      <t>FAQ:</t>
    </r>
    <r>
      <rPr>
        <sz val="10"/>
        <rFont val="Arial"/>
        <family val="2"/>
      </rPr>
      <t xml:space="preserve">
</t>
    </r>
    <r>
      <rPr>
        <b/>
        <sz val="10"/>
        <color indexed="10"/>
        <rFont val="Arial"/>
        <family val="2"/>
      </rPr>
      <t>Wie drucke ich einen Bericht aus?</t>
    </r>
    <r>
      <rPr>
        <sz val="10"/>
        <rFont val="Arial"/>
        <family val="2"/>
      </rPr>
      <t xml:space="preserve">
Nutzen Sie die Druckroutine von Excel. (z.B. in Excel 2003 über Menü Datei/Drucken)
</t>
    </r>
    <r>
      <rPr>
        <b/>
        <sz val="10"/>
        <color indexed="10"/>
        <rFont val="Arial"/>
        <family val="2"/>
      </rPr>
      <t>Wie versende ich einen Bericht per Mail?</t>
    </r>
    <r>
      <rPr>
        <sz val="10"/>
        <rFont val="Arial"/>
        <family val="2"/>
      </rPr>
      <t xml:space="preserve">
Erstellen Sie über die Druckroutine eine pdf-Datei, z.B. mit dem kostenlosen Programm FreePDF (Download z.B. über http://www.freepdfxp.de)
Dieses pdf können Sie speichern oder direkt per Mail versenden.
</t>
    </r>
  </si>
  <si>
    <t>Jan</t>
  </si>
  <si>
    <r>
      <t>Januar</t>
    </r>
    <r>
      <rPr>
        <sz val="10"/>
        <rFont val="Arial"/>
        <family val="2"/>
      </rPr>
      <t>:</t>
    </r>
  </si>
  <si>
    <t>Feb</t>
  </si>
  <si>
    <r>
      <t>Februar</t>
    </r>
    <r>
      <rPr>
        <sz val="10"/>
        <rFont val="Arial"/>
        <family val="2"/>
      </rPr>
      <t>:</t>
    </r>
  </si>
  <si>
    <t>Mrz</t>
  </si>
  <si>
    <r>
      <t>März</t>
    </r>
    <r>
      <rPr>
        <sz val="10"/>
        <rFont val="Arial"/>
        <family val="2"/>
      </rPr>
      <t>:</t>
    </r>
  </si>
  <si>
    <t>Apr</t>
  </si>
  <si>
    <r>
      <t>April</t>
    </r>
    <r>
      <rPr>
        <sz val="10"/>
        <rFont val="Arial"/>
        <family val="2"/>
      </rPr>
      <t>:</t>
    </r>
  </si>
  <si>
    <t>Mai</t>
  </si>
  <si>
    <r>
      <t>Mai</t>
    </r>
    <r>
      <rPr>
        <sz val="10"/>
        <rFont val="Arial"/>
        <family val="2"/>
      </rPr>
      <t>:</t>
    </r>
  </si>
  <si>
    <t>Jun</t>
  </si>
  <si>
    <r>
      <t>Juni</t>
    </r>
    <r>
      <rPr>
        <sz val="10"/>
        <rFont val="Arial"/>
        <family val="2"/>
      </rPr>
      <t>:</t>
    </r>
  </si>
  <si>
    <t>Jul</t>
  </si>
  <si>
    <r>
      <t>Juli</t>
    </r>
    <r>
      <rPr>
        <sz val="10"/>
        <rFont val="Arial"/>
        <family val="2"/>
      </rPr>
      <t>:</t>
    </r>
  </si>
  <si>
    <t>Aug</t>
  </si>
  <si>
    <r>
      <t>August</t>
    </r>
    <r>
      <rPr>
        <sz val="10"/>
        <rFont val="Arial"/>
        <family val="2"/>
      </rPr>
      <t>:</t>
    </r>
  </si>
  <si>
    <t>Sep</t>
  </si>
  <si>
    <r>
      <t>September</t>
    </r>
    <r>
      <rPr>
        <sz val="10"/>
        <rFont val="Arial"/>
        <family val="2"/>
      </rPr>
      <t>:</t>
    </r>
  </si>
  <si>
    <t>Okt</t>
  </si>
  <si>
    <r>
      <t>Oktober</t>
    </r>
    <r>
      <rPr>
        <sz val="10"/>
        <rFont val="Arial"/>
        <family val="2"/>
      </rPr>
      <t>:</t>
    </r>
  </si>
  <si>
    <t>Nov</t>
  </si>
  <si>
    <r>
      <t>November</t>
    </r>
    <r>
      <rPr>
        <sz val="10"/>
        <rFont val="Arial"/>
        <family val="2"/>
      </rPr>
      <t>:</t>
    </r>
  </si>
  <si>
    <t>Dez</t>
  </si>
  <si>
    <r>
      <t>Dezember</t>
    </r>
    <r>
      <rPr>
        <sz val="10"/>
        <rFont val="Arial"/>
        <family val="2"/>
      </rPr>
      <t>:</t>
    </r>
  </si>
  <si>
    <t>Über-/Minderstunden-Saldo im Jahresverlauf</t>
  </si>
  <si>
    <t>Bericht D: Planungsbericht</t>
    <phoneticPr fontId="36" type="noConversion"/>
  </si>
  <si>
    <t>Vergleich effektive Arbeitsaufteilung mit Zeitbudget</t>
  </si>
  <si>
    <t>Effektive Aufteilung</t>
    <phoneticPr fontId="36" type="noConversion"/>
  </si>
  <si>
    <t>(Std:Min)</t>
  </si>
  <si>
    <t>Zeitbudget</t>
  </si>
  <si>
    <t>Bemerkungen</t>
  </si>
  <si>
    <t>Total der Stellenprozente</t>
  </si>
  <si>
    <t>Bericht F: Zählung bestimmter Ereignisse</t>
  </si>
  <si>
    <t>Folgende Ereignisse wurden gezählt.</t>
  </si>
  <si>
    <r>
      <t>FAQ:</t>
    </r>
    <r>
      <rPr>
        <b/>
        <sz val="10"/>
        <rFont val="Arial"/>
        <family val="2"/>
      </rPr>
      <t xml:space="preserve">
</t>
    </r>
    <r>
      <rPr>
        <b/>
        <sz val="10"/>
        <color indexed="10"/>
        <rFont val="Arial"/>
        <family val="2"/>
      </rPr>
      <t>Wie ändere ich den Berichtsmonat?</t>
    </r>
    <r>
      <rPr>
        <b/>
        <sz val="10"/>
        <rFont val="Arial"/>
        <family val="2"/>
      </rPr>
      <t xml:space="preserve">
</t>
    </r>
    <r>
      <rPr>
        <sz val="10"/>
        <rFont val="Arial"/>
        <family val="2"/>
      </rPr>
      <t>Klicken Sie direkt auf den hellgrün unterlegten Monatsnamen im Titel. Es erscheint rechts ein Pfeilsymbol zur Auswahl anderer Berichtsphasen.</t>
    </r>
    <r>
      <rPr>
        <b/>
        <sz val="10"/>
        <rFont val="Arial"/>
        <family val="2"/>
      </rPr>
      <t xml:space="preserve">
</t>
    </r>
    <r>
      <rPr>
        <b/>
        <sz val="10"/>
        <color indexed="10"/>
        <rFont val="Arial"/>
        <family val="2"/>
      </rPr>
      <t>Wie drucke ich einen Bericht aus?</t>
    </r>
    <r>
      <rPr>
        <b/>
        <sz val="10"/>
        <rFont val="Arial"/>
        <family val="2"/>
      </rPr>
      <t xml:space="preserve">
</t>
    </r>
    <r>
      <rPr>
        <sz val="10"/>
        <rFont val="Arial"/>
        <family val="2"/>
      </rPr>
      <t>Nutzen Sie die Druckroutine von Excel. (z.B. in Excel 2003 über Menü Datei/Drucken)</t>
    </r>
    <r>
      <rPr>
        <b/>
        <sz val="10"/>
        <rFont val="Arial"/>
        <family val="2"/>
      </rPr>
      <t xml:space="preserve">
</t>
    </r>
    <r>
      <rPr>
        <b/>
        <sz val="10"/>
        <color indexed="10"/>
        <rFont val="Arial"/>
        <family val="2"/>
      </rPr>
      <t>Wie versende ich einen Bericht per Mail?</t>
    </r>
    <r>
      <rPr>
        <b/>
        <sz val="10"/>
        <rFont val="Arial"/>
        <family val="2"/>
      </rPr>
      <t xml:space="preserve">
</t>
    </r>
    <r>
      <rPr>
        <sz val="10"/>
        <rFont val="Arial"/>
        <family val="2"/>
      </rPr>
      <t>Erstellen Sie über die Druckroutine eine pdf-Datei, z.B. mit dem kostenlosen Programm FreePDF (Download z.B. über http://www.freepdfxp.de)
Dieses pdf können Sie speichern oder direkt per Mail versenden.</t>
    </r>
  </si>
  <si>
    <t>Anzahl:</t>
  </si>
  <si>
    <t>Erläuterungen:</t>
  </si>
  <si>
    <t>Die Jahreszahl wird vom Eingabelatt geholt</t>
  </si>
  <si>
    <t>Anstellungsgrad:</t>
  </si>
  <si>
    <t>Name, Amt, Abteilung und Beschäftigungsgrad werden ebenfalls vom Eingabeblatt geholt</t>
  </si>
  <si>
    <t>Beginn</t>
  </si>
  <si>
    <t>&lt;---  Zelle AI12 zeigt die im Monat aufgelaufene total angerechnete Arbeitszeit an</t>
  </si>
  <si>
    <t>Effektive Arbeitszeit</t>
  </si>
  <si>
    <t>&lt;---  Wie lange habe ich gearbeitet resp. am Arbeitsplatz präsent</t>
  </si>
  <si>
    <t>inkl. Basiszeit / Feiertage</t>
  </si>
  <si>
    <t>&lt;---   Präsenzzeit plus allfällige Abwesenheiten, z.B. Arzt  //  Zelle AJ12 zeigt das Monats-Plus oder -Minus an (Monats-Mehr- oder -Minderleistung ohne Berücksichtigung der Ueberzeit)</t>
  </si>
  <si>
    <r>
      <t xml:space="preserve">&lt;---  </t>
    </r>
    <r>
      <rPr>
        <b/>
        <sz val="10"/>
        <color indexed="55"/>
        <rFont val="Arial"/>
        <family val="2"/>
      </rPr>
      <t xml:space="preserve">*) </t>
    </r>
    <r>
      <rPr>
        <sz val="10"/>
        <color indexed="55"/>
        <rFont val="Arial"/>
        <family val="2"/>
      </rPr>
      <t>Wieviel muss ich arbeiten pro Tag (SOLL)  //  Zelle AI13 zeigt die totale Monats-SOLL-Zeit an</t>
    </r>
  </si>
  <si>
    <t>Regelarbeitszeit</t>
  </si>
  <si>
    <t>Vortrag</t>
  </si>
  <si>
    <t>&lt;---  Wieviel habe ich zuviel oder zuwenig gearbeitet (Saldo/Ergebnis pro Tag)</t>
  </si>
  <si>
    <t>Jahres-
anspruch</t>
  </si>
  <si>
    <t>Arbeitszeit-Saldo</t>
  </si>
  <si>
    <t>&lt;---  Saldo vom Vortag plus Ergebnis vom heutigen Tag (ergibt neuen Saldo)</t>
  </si>
  <si>
    <t>Saldo Feiertagsanspruch</t>
  </si>
  <si>
    <t>löschen</t>
  </si>
  <si>
    <t>Rest</t>
  </si>
  <si>
    <t>=  .....  -  AI##   (Formel in Spalte AJ)   //   In Spalte AI werden alle Tageswerte aufaddiert</t>
  </si>
  <si>
    <t>hat in ClearTime keine Funktion</t>
    <phoneticPr fontId="9" type="noConversion"/>
  </si>
  <si>
    <t>Saldo Überzeit</t>
  </si>
  <si>
    <t>= __ + AI34 - AI18</t>
  </si>
  <si>
    <t>=  .....  +  AI##</t>
  </si>
  <si>
    <t>Nebenbeschäftigung</t>
  </si>
  <si>
    <t>in folgenden Bereichen nicht oder zuviel aufgeteilte Arbeitszeit</t>
  </si>
  <si>
    <t>Geleistete Überzeit</t>
  </si>
  <si>
    <t>&lt;---  Wieviel Überzeit habe ich geleistet</t>
  </si>
  <si>
    <t>Überzeitberechtigung JA / NEIN</t>
  </si>
  <si>
    <t>NEIN</t>
  </si>
  <si>
    <t>&lt;---  Ein JA setzt eine Bewilligung voraus</t>
  </si>
  <si>
    <t>MISSBRÄUCHE HABEN SANKTIONEN ZUR FOLGE!</t>
  </si>
  <si>
    <t>Ich habe diese Monatsabrechnung kontrolliert und auf die Richtigkeit geprüft.</t>
  </si>
  <si>
    <t>Unterschrift Mitarbeiterin / Mitarbeiter:   ......................................................................................................................</t>
  </si>
  <si>
    <t>Visum der vorgesetzten Stelle:   .................................................</t>
  </si>
  <si>
    <t>Datum:   .................................</t>
  </si>
  <si>
    <t>ev. elektronische Unterschrift Mitarbeiterin / Mitarbeiter:</t>
  </si>
  <si>
    <t xml:space="preserve">Freie Stichworte
zum Tag
</t>
  </si>
  <si>
    <t>Januar</t>
  </si>
  <si>
    <t>Februar</t>
  </si>
  <si>
    <t>März</t>
  </si>
  <si>
    <t>April</t>
  </si>
  <si>
    <t>Juni</t>
  </si>
  <si>
    <t>Juli</t>
  </si>
  <si>
    <t>August</t>
  </si>
  <si>
    <t>September</t>
  </si>
  <si>
    <t>Oktober</t>
  </si>
  <si>
    <t>November</t>
  </si>
  <si>
    <t>Dezember</t>
  </si>
  <si>
    <t>Di</t>
  </si>
  <si>
    <t/>
  </si>
  <si>
    <t>Arbeitstage</t>
  </si>
  <si>
    <t>Std. netto</t>
  </si>
  <si>
    <t>Feiertage</t>
  </si>
  <si>
    <t>Std. brutto</t>
  </si>
  <si>
    <t>Spezialtage</t>
  </si>
  <si>
    <t>Total FT + ST</t>
  </si>
  <si>
    <t>stw.</t>
  </si>
  <si>
    <t>Bärchtoldstag</t>
  </si>
  <si>
    <t>Ostern</t>
  </si>
  <si>
    <t>1. Mai</t>
  </si>
  <si>
    <t>vor Auffahrt</t>
  </si>
  <si>
    <t>Pfingsten</t>
  </si>
  <si>
    <t>1. August</t>
  </si>
  <si>
    <t>Stefanstag</t>
  </si>
  <si>
    <t>So</t>
  </si>
  <si>
    <t>Sa</t>
  </si>
  <si>
    <t>Tage</t>
  </si>
  <si>
    <t>Amt:</t>
  </si>
  <si>
    <t>Abt.:</t>
  </si>
  <si>
    <t>Jahr:</t>
  </si>
  <si>
    <t>Name:</t>
  </si>
  <si>
    <t>BG:</t>
  </si>
  <si>
    <t>% (Durchschn.)</t>
  </si>
  <si>
    <t>Überzeit-Saldo</t>
  </si>
  <si>
    <t>+/- Soll/Ist</t>
  </si>
  <si>
    <t>Jahresarbeitszeit
kumuliert</t>
  </si>
  <si>
    <t>Jahresanspruch</t>
  </si>
  <si>
    <t>&lt;--  Holt Startwerte aus der Eingabetabelle</t>
  </si>
  <si>
    <t>Übertrag vom Vorjahr</t>
  </si>
  <si>
    <t>&lt;---  dito</t>
  </si>
  <si>
    <t>&lt;---  Holt die jeweiligen Monatsendsaldi aus der Spalte AI</t>
  </si>
  <si>
    <t>Summe
Rest</t>
  </si>
  <si>
    <t>&lt;---  Summe der Spalte  oder  Rest, wo ein Jahresüberttrag resp. ein Jahresanspruch vorliegt</t>
  </si>
  <si>
    <t>Plus - Korrektur</t>
  </si>
  <si>
    <t>&lt;---  In dieser und der folgenden Zeile können Korrekturen eingegeben. Die eingebene Zeit wird zum Wert in Zeile 19 dazugezählt und in Zeile 22 ausgewiesen</t>
  </si>
  <si>
    <t>Minus - Korrektur</t>
  </si>
  <si>
    <t xml:space="preserve">  Datum u. Unterschrift MA:</t>
  </si>
  <si>
    <t>&lt;---  Zeile für Minus-Korrekturen: Bitte nur positive Werte eingeben; negative Eingaben sind nicht möglich. Der Wert wird automatisch abgezogen</t>
  </si>
  <si>
    <t>ÜBERTRAG AUFS NEUE JAHR</t>
  </si>
  <si>
    <t xml:space="preserve">  Datum u. Visum Vorges.:</t>
  </si>
  <si>
    <t>&lt;&lt;&lt;  zu übertragen auf das nächste Jahr &lt;&lt;&lt;</t>
  </si>
  <si>
    <t>korrigiert</t>
  </si>
  <si>
    <t>Jahr</t>
  </si>
  <si>
    <t>Bitte gelbe Felder nicht verändern</t>
  </si>
  <si>
    <t>Name</t>
  </si>
  <si>
    <t>Beschäftigungsgrad %  (Durchschnitt)</t>
  </si>
  <si>
    <t>Ferienanspruch bei 100%:</t>
  </si>
  <si>
    <t>Amt</t>
  </si>
  <si>
    <t>Kompensationsanspruch bei 100%:</t>
  </si>
  <si>
    <t>Zuschlagsberechtigung Überzeit</t>
  </si>
  <si>
    <t>Parameter</t>
  </si>
  <si>
    <t>(siehe nebenstehende Erläuterungen)</t>
  </si>
  <si>
    <t>Berechnungsdatum bis ...</t>
  </si>
  <si>
    <t>=HEUTE()</t>
  </si>
  <si>
    <t>Minderleistung bei Überzeit berücks.</t>
  </si>
  <si>
    <t>JA / NEIN</t>
  </si>
  <si>
    <t>Version 09_0821</t>
  </si>
  <si>
    <t>Minderleistung bei Gleitzeit berücks.</t>
  </si>
  <si>
    <t>Startsaldi / Jahresübertrag</t>
  </si>
  <si>
    <t>Bruttoarbeitszeit volles Pensum</t>
  </si>
  <si>
    <t>2184:00</t>
  </si>
  <si>
    <t>gemäss RSV §65 RB 177.112</t>
  </si>
  <si>
    <t>AZ-Korrektur:</t>
  </si>
  <si>
    <r>
      <t xml:space="preserve">Normal-Arbeitszeit/Tg. </t>
    </r>
    <r>
      <rPr>
        <sz val="9"/>
        <color indexed="9"/>
        <rFont val="Arial"/>
        <family val="2"/>
      </rPr>
      <t>(52 Wo, 5 Tg.)</t>
    </r>
  </si>
  <si>
    <t>Brutto-SOLL-Arbeitszeit nach BG</t>
  </si>
  <si>
    <t xml:space="preserve">&lt;&lt;&lt; </t>
  </si>
  <si>
    <t>Feiertagsanspruch nach BG</t>
  </si>
  <si>
    <t>Netto-SOLL-Arbeitszeit</t>
  </si>
  <si>
    <t>Vereinbarte SOLL-Arbeitszeit</t>
  </si>
  <si>
    <t>=D20-D19</t>
  </si>
  <si>
    <t xml:space="preserve"> Überträge vom Vorjahr</t>
  </si>
  <si>
    <t>Arbeitszeit(AZ)-Saldo</t>
  </si>
  <si>
    <t xml:space="preserve"> Jahresanspruch</t>
  </si>
  <si>
    <t xml:space="preserve">Überzeit-Saldo </t>
  </si>
  <si>
    <t xml:space="preserve"> gelb ist errechnet, blau bedeutet vereinbart</t>
  </si>
  <si>
    <t>2:45</t>
  </si>
  <si>
    <t>Feiertagsanspruch an arb.freien Tg.</t>
  </si>
  <si>
    <t>Dienstaltersgeschenk (DAG)</t>
  </si>
  <si>
    <t>Unbesoldeter Urlaub</t>
  </si>
  <si>
    <t>Besoldeter Urlaub</t>
  </si>
  <si>
    <t>Kompensation Arbeitszeit</t>
  </si>
  <si>
    <t>Wer eine 100% Stelle besetzt (42 Std/Woche), muss hier nichts ändern</t>
  </si>
  <si>
    <t>Beispiel:</t>
  </si>
  <si>
    <t>(Brutto-SOLL-Arbeitszeit,</t>
  </si>
  <si>
    <t>Teilzeitangestellte füllen die Tabelle entsprechend ihrem Beschäftigungsgrad aus.</t>
  </si>
  <si>
    <t>50% Anstellung (5 Tage anwesend)</t>
  </si>
  <si>
    <t>=vereinbarte SOLL-Arbeitszeit)</t>
  </si>
  <si>
    <r>
      <t xml:space="preserve">Bitte Eingaben der Stunden/Minuten mit </t>
    </r>
    <r>
      <rPr>
        <b/>
        <sz val="10"/>
        <color indexed="9"/>
        <rFont val="Arial"/>
        <family val="2"/>
      </rPr>
      <t>Doppelpunkt</t>
    </r>
    <r>
      <rPr>
        <sz val="10"/>
        <color indexed="9"/>
        <rFont val="Arial"/>
        <family val="2"/>
      </rPr>
      <t xml:space="preserve"> vornehmen</t>
    </r>
  </si>
  <si>
    <t>Auf Blatt CT Personalangaben kopiert!</t>
  </si>
  <si>
    <t>80% Anstellung (4 Tage anwesend)</t>
  </si>
  <si>
    <t>Ferienanspruch, Beschäftigungsgrad, empfohlene regelmässige Arbeitszeit</t>
  </si>
  <si>
    <t>Kompensationsanspruch</t>
  </si>
  <si>
    <t>Kompens.</t>
  </si>
  <si>
    <t>Feiertage und Ausnahmen von der Regelarbeitszeit</t>
  </si>
  <si>
    <t>Mo=1; So=7</t>
  </si>
  <si>
    <t>Auf Blatt CT Feier-Freitage kopiert!</t>
  </si>
  <si>
    <t>Arbeitszeit</t>
  </si>
  <si>
    <t>Beschreibung</t>
  </si>
  <si>
    <t>BG (%)</t>
  </si>
  <si>
    <t>Std</t>
  </si>
  <si>
    <t>Saldo TZ</t>
  </si>
  <si>
    <t>1. Mai und Auffahrt</t>
  </si>
  <si>
    <t>Weihnachten</t>
  </si>
  <si>
    <t>Die Einträge müssen aufsteigend nach Datum sortiert sein!</t>
  </si>
  <si>
    <t>Werte für die Berechnung des Ferien- und Kompensationsanspruches</t>
  </si>
  <si>
    <t>Umwandlung Textzahlen in Zeitangaben</t>
  </si>
  <si>
    <t xml:space="preserve">  &lt;&lt;&lt;  Formel zur Überprüfung auf Fehler</t>
  </si>
  <si>
    <t>Beispiel für korrekte Eingaben:
7:00 oder 38:10 oder 0:00 oder -2:07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</si>
</sst>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3" formatCode="_ * #,##0.00_ ;_ * \-#,##0.00_ ;_ * &quot;-&quot;??_ ;_ @_ "/>
    <numFmt numFmtId="164" formatCode="[h]\:mm"/>
    <numFmt numFmtId="165" formatCode="[hh]:mm"/>
    <numFmt numFmtId="166" formatCode="\ @"/>
    <numFmt numFmtId="167" formatCode="@\ "/>
    <numFmt numFmtId="168" formatCode="ddd/"/>
    <numFmt numFmtId="169" formatCode="mmmm"/>
    <numFmt numFmtId="170" formatCode="d/m/yy"/>
    <numFmt numFmtId="171" formatCode="[h]\:mm;\-\ [h]\:mm;&quot;-     &quot;"/>
    <numFmt numFmtId="172" formatCode="[h]\:mm;\-\ [h]\:mm;&quot;-   &quot;;_ @_ "/>
    <numFmt numFmtId="173" formatCode="ddd"/>
    <numFmt numFmtId="174" formatCode="hh\:mm"/>
    <numFmt numFmtId="175" formatCode="0.00;;0.00"/>
    <numFmt numFmtId="176" formatCode="[h]\:mm;\-\ [h]\:mm;0\:00"/>
    <numFmt numFmtId="177" formatCode="\ \ \ \ \ \ \ \ \ \ @"/>
    <numFmt numFmtId="178" formatCode="General_)"/>
    <numFmt numFmtId="179" formatCode="0_)"/>
    <numFmt numFmtId="180" formatCode="0.00_)"/>
    <numFmt numFmtId="181" formatCode="_ * #,##0.0_ ;_ * \-#,##0.0_ ;_ * &quot;-&quot;??_ ;_ @_ "/>
    <numFmt numFmtId="182" formatCode="_ * #,##0_ ;_ * \-#,##0_ ;_ * &quot;-&quot;??_ ;_ @_ "/>
    <numFmt numFmtId="183" formatCode="_ * #,##0.000_ ;_ * \-#,##0.000_ ;_ * &quot;-&quot;??_ ;_ @_ "/>
    <numFmt numFmtId="184" formatCode="0.0"/>
    <numFmt numFmtId="185" formatCode="#,##0_ ;\-#,##0\ "/>
    <numFmt numFmtId="186" formatCode="mmmm\ yy"/>
    <numFmt numFmtId="187" formatCode="0%;&quot; -&quot;;&quot; - &quot;"/>
    <numFmt numFmtId="188" formatCode="[h]\:mm;\-[h]/mm;&quot;-  &quot;"/>
    <numFmt numFmtId="189" formatCode="0\ &quot;Stellen-%&quot;"/>
    <numFmt numFmtId="190" formatCode="0\ &quot;Stellen-%&quot;;&quot; - &quot;;&quot; - &quot;"/>
    <numFmt numFmtId="191" formatCode="#0;#0;&quot;-     &quot;"/>
  </numFmts>
  <fonts count="59" x14ac:knownFonts="1">
    <font>
      <sz val="10"/>
      <name val="Arial"/>
    </font>
    <font>
      <b/>
      <sz val="10"/>
      <name val="Arial"/>
      <family val="2"/>
    </font>
    <font>
      <b/>
      <i/>
      <sz val="10"/>
      <name val="Arial"/>
      <family val="2"/>
    </font>
    <font>
      <sz val="10"/>
      <name val="Arial"/>
      <family val="2"/>
    </font>
    <font>
      <sz val="8"/>
      <name val="Arial"/>
      <family val="2"/>
    </font>
    <font>
      <b/>
      <sz val="8"/>
      <name val="Arial"/>
      <family val="2"/>
    </font>
    <font>
      <sz val="10"/>
      <name val="Arial"/>
      <family val="2"/>
    </font>
    <font>
      <b/>
      <sz val="12"/>
      <name val="Arial"/>
      <family val="2"/>
    </font>
    <font>
      <b/>
      <sz val="10"/>
      <color indexed="10"/>
      <name val="Arial"/>
      <family val="2"/>
    </font>
    <font>
      <sz val="8"/>
      <name val="Arial"/>
      <family val="2"/>
    </font>
    <font>
      <sz val="12"/>
      <name val="Arial"/>
      <family val="2"/>
    </font>
    <font>
      <b/>
      <sz val="14"/>
      <name val="Arial"/>
      <family val="2"/>
    </font>
    <font>
      <sz val="9"/>
      <name val="Arial"/>
      <family val="2"/>
    </font>
    <font>
      <sz val="11"/>
      <name val="Arial"/>
      <family val="2"/>
    </font>
    <font>
      <b/>
      <sz val="11"/>
      <name val="Arial"/>
      <family val="2"/>
    </font>
    <font>
      <b/>
      <sz val="14"/>
      <color indexed="9"/>
      <name val="Arial"/>
      <family val="2"/>
    </font>
    <font>
      <sz val="14"/>
      <name val="Arial"/>
      <family val="2"/>
    </font>
    <font>
      <sz val="10"/>
      <color indexed="10"/>
      <name val="Arial"/>
      <family val="2"/>
    </font>
    <font>
      <b/>
      <sz val="16"/>
      <name val="Arial"/>
      <family val="2"/>
    </font>
    <font>
      <u/>
      <sz val="10"/>
      <color indexed="12"/>
      <name val="Arial"/>
      <family val="2"/>
    </font>
    <font>
      <b/>
      <sz val="10"/>
      <color indexed="56"/>
      <name val="Arial"/>
      <family val="2"/>
    </font>
    <font>
      <sz val="10"/>
      <color indexed="22"/>
      <name val="Arial"/>
      <family val="2"/>
    </font>
    <font>
      <sz val="10"/>
      <color indexed="9"/>
      <name val="Arial"/>
      <family val="2"/>
    </font>
    <font>
      <b/>
      <sz val="10"/>
      <color indexed="9"/>
      <name val="Arial"/>
      <family val="2"/>
    </font>
    <font>
      <sz val="10"/>
      <name val="Courier"/>
      <family val="3"/>
    </font>
    <font>
      <sz val="8"/>
      <color indexed="8"/>
      <name val="Arial"/>
      <family val="2"/>
    </font>
    <font>
      <b/>
      <sz val="10"/>
      <color indexed="17"/>
      <name val="Arial"/>
      <family val="2"/>
    </font>
    <font>
      <sz val="10"/>
      <color indexed="57"/>
      <name val="Arial"/>
      <family val="2"/>
    </font>
    <font>
      <sz val="10"/>
      <color indexed="53"/>
      <name val="Arial"/>
      <family val="2"/>
    </font>
    <font>
      <b/>
      <sz val="9"/>
      <name val="Arial"/>
      <family val="2"/>
    </font>
    <font>
      <b/>
      <sz val="10"/>
      <name val="Arial"/>
      <family val="2"/>
    </font>
    <font>
      <b/>
      <sz val="10"/>
      <name val="Courier"/>
      <family val="3"/>
    </font>
    <font>
      <sz val="10"/>
      <color indexed="12"/>
      <name val="Arial"/>
      <family val="2"/>
    </font>
    <font>
      <sz val="10"/>
      <color indexed="48"/>
      <name val="Arial"/>
      <family val="2"/>
    </font>
    <font>
      <i/>
      <sz val="10"/>
      <color indexed="10"/>
      <name val="Arial"/>
      <family val="2"/>
    </font>
    <font>
      <sz val="10"/>
      <color indexed="9"/>
      <name val="Arial"/>
      <family val="2"/>
    </font>
    <font>
      <sz val="8"/>
      <name val="Arial"/>
      <family val="2"/>
    </font>
    <font>
      <sz val="10"/>
      <color indexed="55"/>
      <name val="Arial"/>
      <family val="2"/>
    </font>
    <font>
      <sz val="8"/>
      <color indexed="55"/>
      <name val="Arial"/>
      <family val="2"/>
    </font>
    <font>
      <b/>
      <sz val="10"/>
      <color indexed="55"/>
      <name val="Arial"/>
      <family val="2"/>
    </font>
    <font>
      <sz val="9"/>
      <color indexed="9"/>
      <name val="Arial"/>
      <family val="2"/>
    </font>
    <font>
      <u/>
      <sz val="10"/>
      <name val="Arial"/>
      <family val="2"/>
    </font>
    <font>
      <sz val="8"/>
      <name val="Arial"/>
      <family val="2"/>
    </font>
    <font>
      <sz val="8"/>
      <color indexed="9"/>
      <name val="Arial"/>
      <family val="2"/>
    </font>
    <font>
      <sz val="10"/>
      <name val="Arial"/>
      <family val="2"/>
    </font>
    <font>
      <i/>
      <sz val="10"/>
      <name val="Arial"/>
      <family val="2"/>
    </font>
    <font>
      <b/>
      <sz val="10"/>
      <color indexed="12"/>
      <name val="Arial"/>
      <family val="2"/>
    </font>
    <font>
      <sz val="10"/>
      <color indexed="44"/>
      <name val="Arial"/>
      <family val="2"/>
    </font>
    <font>
      <sz val="9"/>
      <name val="Arial"/>
      <family val="2"/>
    </font>
    <font>
      <b/>
      <sz val="9"/>
      <color indexed="9"/>
      <name val="Arial"/>
      <family val="2"/>
    </font>
    <font>
      <sz val="8"/>
      <name val="Arial"/>
      <family val="2"/>
    </font>
    <font>
      <sz val="10"/>
      <color indexed="9"/>
      <name val="Arial"/>
      <family val="2"/>
    </font>
    <font>
      <b/>
      <sz val="12"/>
      <color indexed="8"/>
      <name val="Arial"/>
      <family val="2"/>
    </font>
    <font>
      <b/>
      <sz val="9"/>
      <color indexed="8"/>
      <name val="Arial"/>
      <family val="2"/>
    </font>
    <font>
      <sz val="9"/>
      <color indexed="8"/>
      <name val="Arial"/>
      <family val="2"/>
    </font>
    <font>
      <sz val="7"/>
      <color indexed="8"/>
      <name val="Arial"/>
      <family val="2"/>
    </font>
    <font>
      <sz val="6"/>
      <name val="Arial"/>
      <family val="2"/>
    </font>
    <font>
      <b/>
      <sz val="10"/>
      <color indexed="22"/>
      <name val="Arial"/>
      <family val="2"/>
    </font>
    <font>
      <b/>
      <sz val="10"/>
      <color rgb="FFFF0000"/>
      <name val="Arial"/>
      <family val="2"/>
    </font>
  </fonts>
  <fills count="17">
    <fill>
      <patternFill patternType="none"/>
    </fill>
    <fill>
      <patternFill patternType="gray125"/>
    </fill>
    <fill>
      <patternFill patternType="solid">
        <fgColor indexed="48"/>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indexed="41"/>
        <bgColor indexed="64"/>
      </patternFill>
    </fill>
    <fill>
      <patternFill patternType="solid">
        <fgColor indexed="45"/>
        <bgColor indexed="64"/>
      </patternFill>
    </fill>
    <fill>
      <patternFill patternType="solid">
        <fgColor indexed="14"/>
        <bgColor indexed="64"/>
      </patternFill>
    </fill>
    <fill>
      <patternFill patternType="solid">
        <fgColor indexed="27"/>
        <bgColor indexed="64"/>
      </patternFill>
    </fill>
    <fill>
      <patternFill patternType="solid">
        <fgColor indexed="29"/>
        <bgColor indexed="64"/>
      </patternFill>
    </fill>
    <fill>
      <patternFill patternType="solid">
        <fgColor indexed="10"/>
        <bgColor indexed="64"/>
      </patternFill>
    </fill>
  </fills>
  <borders count="177">
    <border>
      <left/>
      <right/>
      <top/>
      <bottom/>
      <diagonal/>
    </border>
    <border>
      <left/>
      <right/>
      <top/>
      <bottom style="medium">
        <color auto="1"/>
      </bottom>
      <diagonal/>
    </border>
    <border>
      <left/>
      <right/>
      <top style="medium">
        <color auto="1"/>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top style="hair">
        <color auto="1"/>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bottom/>
      <diagonal/>
    </border>
    <border>
      <left style="thin">
        <color auto="1"/>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indexed="22"/>
      </bottom>
      <diagonal/>
    </border>
    <border>
      <left style="thin">
        <color auto="1"/>
      </left>
      <right style="thin">
        <color indexed="22"/>
      </right>
      <top/>
      <bottom style="thin">
        <color indexed="22"/>
      </bottom>
      <diagonal/>
    </border>
    <border>
      <left style="thin">
        <color indexed="22"/>
      </left>
      <right style="thin">
        <color indexed="22"/>
      </right>
      <top/>
      <bottom style="thin">
        <color indexed="22"/>
      </bottom>
      <diagonal/>
    </border>
    <border>
      <left/>
      <right style="thin">
        <color indexed="22"/>
      </right>
      <top/>
      <bottom style="thin">
        <color indexed="22"/>
      </bottom>
      <diagonal/>
    </border>
    <border>
      <left style="thin">
        <color indexed="22"/>
      </left>
      <right style="thin">
        <color indexed="22"/>
      </right>
      <top/>
      <bottom/>
      <diagonal/>
    </border>
    <border>
      <left/>
      <right style="thin">
        <color indexed="22"/>
      </right>
      <top/>
      <bottom/>
      <diagonal/>
    </border>
    <border>
      <left/>
      <right style="medium">
        <color auto="1"/>
      </right>
      <top style="medium">
        <color auto="1"/>
      </top>
      <bottom style="medium">
        <color auto="1"/>
      </bottom>
      <diagonal/>
    </border>
    <border>
      <left style="hair">
        <color auto="1"/>
      </left>
      <right style="hair">
        <color auto="1"/>
      </right>
      <top style="medium">
        <color auto="1"/>
      </top>
      <bottom style="hair">
        <color auto="1"/>
      </bottom>
      <diagonal/>
    </border>
    <border>
      <left style="hair">
        <color auto="1"/>
      </left>
      <right style="hair">
        <color auto="1"/>
      </right>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right style="medium">
        <color auto="1"/>
      </right>
      <top/>
      <bottom/>
      <diagonal/>
    </border>
    <border>
      <left/>
      <right style="medium">
        <color auto="1"/>
      </right>
      <top/>
      <bottom style="thin">
        <color auto="1"/>
      </bottom>
      <diagonal/>
    </border>
    <border>
      <left style="thin">
        <color auto="1"/>
      </left>
      <right/>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medium">
        <color auto="1"/>
      </left>
      <right style="thin">
        <color auto="1"/>
      </right>
      <top style="hair">
        <color auto="1"/>
      </top>
      <bottom/>
      <diagonal/>
    </border>
    <border>
      <left style="medium">
        <color auto="1"/>
      </left>
      <right/>
      <top/>
      <bottom style="thin">
        <color auto="1"/>
      </bottom>
      <diagonal/>
    </border>
    <border>
      <left style="medium">
        <color auto="1"/>
      </left>
      <right style="thin">
        <color auto="1"/>
      </right>
      <top/>
      <bottom style="hair">
        <color auto="1"/>
      </bottom>
      <diagonal/>
    </border>
    <border>
      <left/>
      <right style="thin">
        <color auto="1"/>
      </right>
      <top/>
      <bottom style="hair">
        <color auto="1"/>
      </bottom>
      <diagonal/>
    </border>
    <border>
      <left style="thin">
        <color auto="1"/>
      </left>
      <right style="thin">
        <color auto="1"/>
      </right>
      <top style="hair">
        <color auto="1"/>
      </top>
      <bottom style="thin">
        <color auto="1"/>
      </bottom>
      <diagonal/>
    </border>
    <border>
      <left/>
      <right style="medium">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thin">
        <color auto="1"/>
      </right>
      <top style="hair">
        <color auto="1"/>
      </top>
      <bottom style="thin">
        <color auto="1"/>
      </bottom>
      <diagonal/>
    </border>
    <border>
      <left style="medium">
        <color auto="1"/>
      </left>
      <right/>
      <top style="hair">
        <color auto="1"/>
      </top>
      <bottom/>
      <diagonal/>
    </border>
    <border>
      <left/>
      <right style="medium">
        <color auto="1"/>
      </right>
      <top style="hair">
        <color auto="1"/>
      </top>
      <bottom/>
      <diagonal/>
    </border>
    <border>
      <left style="medium">
        <color auto="1"/>
      </left>
      <right/>
      <top/>
      <bottom/>
      <diagonal/>
    </border>
    <border>
      <left/>
      <right style="medium">
        <color auto="1"/>
      </right>
      <top style="hair">
        <color auto="1"/>
      </top>
      <bottom style="hair">
        <color auto="1"/>
      </bottom>
      <diagonal/>
    </border>
    <border>
      <left/>
      <right style="thin">
        <color auto="1"/>
      </right>
      <top style="hair">
        <color auto="1"/>
      </top>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medium">
        <color auto="1"/>
      </right>
      <top style="hair">
        <color auto="1"/>
      </top>
      <bottom style="hair">
        <color auto="1"/>
      </bottom>
      <diagonal/>
    </border>
    <border>
      <left style="medium">
        <color auto="1"/>
      </left>
      <right/>
      <top style="thin">
        <color auto="1"/>
      </top>
      <bottom/>
      <diagonal/>
    </border>
    <border>
      <left/>
      <right/>
      <top style="hair">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thin">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top/>
      <bottom style="medium">
        <color auto="1"/>
      </bottom>
      <diagonal/>
    </border>
    <border>
      <left/>
      <right style="thin">
        <color auto="1"/>
      </right>
      <top style="medium">
        <color auto="1"/>
      </top>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hair">
        <color auto="1"/>
      </right>
      <top style="medium">
        <color auto="1"/>
      </top>
      <bottom style="hair">
        <color auto="1"/>
      </bottom>
      <diagonal/>
    </border>
    <border>
      <left/>
      <right style="hair">
        <color auto="1"/>
      </right>
      <top style="hair">
        <color auto="1"/>
      </top>
      <bottom/>
      <diagonal/>
    </border>
    <border>
      <left/>
      <right style="hair">
        <color auto="1"/>
      </right>
      <top/>
      <bottom/>
      <diagonal/>
    </border>
    <border>
      <left style="medium">
        <color auto="1"/>
      </left>
      <right style="thin">
        <color auto="1"/>
      </right>
      <top/>
      <bottom style="medium">
        <color auto="1"/>
      </bottom>
      <diagonal/>
    </border>
    <border>
      <left/>
      <right style="hair">
        <color auto="1"/>
      </right>
      <top style="hair">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indexed="9"/>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style="hair">
        <color auto="1"/>
      </left>
      <right/>
      <top style="medium">
        <color auto="1"/>
      </top>
      <bottom style="hair">
        <color auto="1"/>
      </bottom>
      <diagonal/>
    </border>
    <border>
      <left style="thin">
        <color auto="1"/>
      </left>
      <right style="medium">
        <color auto="1"/>
      </right>
      <top style="medium">
        <color auto="1"/>
      </top>
      <bottom style="thin">
        <color auto="1"/>
      </bottom>
      <diagonal/>
    </border>
    <border>
      <left style="hair">
        <color auto="1"/>
      </left>
      <right style="medium">
        <color auto="1"/>
      </right>
      <top/>
      <bottom/>
      <diagonal/>
    </border>
    <border>
      <left style="medium">
        <color auto="1"/>
      </left>
      <right style="thin">
        <color auto="1"/>
      </right>
      <top/>
      <bottom/>
      <diagonal/>
    </border>
    <border>
      <left style="thin">
        <color auto="1"/>
      </left>
      <right style="medium">
        <color auto="1"/>
      </right>
      <top/>
      <bottom/>
      <diagonal/>
    </border>
    <border>
      <left/>
      <right/>
      <top/>
      <bottom style="hair">
        <color auto="1"/>
      </bottom>
      <diagonal/>
    </border>
    <border>
      <left style="thin">
        <color auto="1"/>
      </left>
      <right style="thin">
        <color auto="1"/>
      </right>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top style="hair">
        <color auto="1"/>
      </top>
      <bottom style="hair">
        <color auto="1"/>
      </bottom>
      <diagonal/>
    </border>
    <border>
      <left style="thin">
        <color auto="1"/>
      </left>
      <right style="medium">
        <color auto="1"/>
      </right>
      <top style="hair">
        <color auto="1"/>
      </top>
      <bottom style="thin">
        <color auto="1"/>
      </bottom>
      <diagonal/>
    </border>
    <border>
      <left style="hair">
        <color auto="1"/>
      </left>
      <right/>
      <top/>
      <bottom style="hair">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hair">
        <color auto="1"/>
      </bottom>
      <diagonal/>
    </border>
    <border>
      <left style="thin">
        <color auto="1"/>
      </left>
      <right style="medium">
        <color auto="1"/>
      </right>
      <top style="thin">
        <color auto="1"/>
      </top>
      <bottom/>
      <diagonal/>
    </border>
    <border>
      <left style="thin">
        <color auto="1"/>
      </left>
      <right style="medium">
        <color auto="1"/>
      </right>
      <top style="hair">
        <color auto="1"/>
      </top>
      <bottom style="medium">
        <color auto="1"/>
      </bottom>
      <diagonal/>
    </border>
    <border>
      <left style="hair">
        <color auto="1"/>
      </left>
      <right style="hair">
        <color auto="1"/>
      </right>
      <top/>
      <bottom/>
      <diagonal/>
    </border>
    <border>
      <left style="hair">
        <color auto="1"/>
      </left>
      <right/>
      <top/>
      <bottom/>
      <diagonal/>
    </border>
    <border>
      <left style="hair">
        <color auto="1"/>
      </left>
      <right style="hair">
        <color auto="1"/>
      </right>
      <top style="medium">
        <color auto="1"/>
      </top>
      <bottom style="medium">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thin">
        <color auto="1"/>
      </left>
      <right style="hair">
        <color auto="1"/>
      </right>
      <top style="hair">
        <color auto="1"/>
      </top>
      <bottom style="thin">
        <color auto="1"/>
      </bottom>
      <diagonal/>
    </border>
    <border>
      <left style="thin">
        <color auto="1"/>
      </left>
      <right style="medium">
        <color auto="1"/>
      </right>
      <top style="medium">
        <color auto="1"/>
      </top>
      <bottom style="hair">
        <color auto="1"/>
      </bottom>
      <diagonal/>
    </border>
    <border>
      <left style="medium">
        <color auto="1"/>
      </left>
      <right style="thin">
        <color auto="1"/>
      </right>
      <top/>
      <bottom style="thin">
        <color auto="1"/>
      </bottom>
      <diagonal/>
    </border>
    <border>
      <left style="thin">
        <color auto="1"/>
      </left>
      <right style="thin">
        <color auto="1"/>
      </right>
      <top style="medium">
        <color auto="1"/>
      </top>
      <bottom style="hair">
        <color auto="1"/>
      </bottom>
      <diagonal/>
    </border>
    <border>
      <left style="medium">
        <color auto="1"/>
      </left>
      <right style="hair">
        <color auto="1"/>
      </right>
      <top style="hair">
        <color auto="1"/>
      </top>
      <bottom/>
      <diagonal/>
    </border>
    <border>
      <left style="thin">
        <color auto="1"/>
      </left>
      <right style="medium">
        <color auto="1"/>
      </right>
      <top style="hair">
        <color auto="1"/>
      </top>
      <bottom/>
      <diagonal/>
    </border>
    <border>
      <left style="thin">
        <color auto="1"/>
      </left>
      <right style="thin">
        <color auto="1"/>
      </right>
      <top style="hair">
        <color auto="1"/>
      </top>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medium">
        <color auto="1"/>
      </right>
      <top/>
      <bottom style="medium">
        <color auto="1"/>
      </bottom>
      <diagonal/>
    </border>
    <border>
      <left style="medium">
        <color auto="1"/>
      </left>
      <right style="medium">
        <color auto="1"/>
      </right>
      <top/>
      <bottom style="thin">
        <color auto="1"/>
      </bottom>
      <diagonal/>
    </border>
    <border>
      <left style="medium">
        <color auto="1"/>
      </left>
      <right style="medium">
        <color auto="1"/>
      </right>
      <top/>
      <bottom style="medium">
        <color auto="1"/>
      </bottom>
      <diagonal/>
    </border>
    <border>
      <left style="medium">
        <color auto="1"/>
      </left>
      <right style="medium">
        <color auto="1"/>
      </right>
      <top style="hair">
        <color auto="1"/>
      </top>
      <bottom style="hair">
        <color auto="1"/>
      </bottom>
      <diagonal/>
    </border>
    <border>
      <left/>
      <right style="medium">
        <color auto="1"/>
      </right>
      <top/>
      <bottom style="hair">
        <color auto="1"/>
      </bottom>
      <diagonal/>
    </border>
    <border>
      <left style="medium">
        <color auto="1"/>
      </left>
      <right style="medium">
        <color auto="1"/>
      </right>
      <top style="hair">
        <color auto="1"/>
      </top>
      <bottom/>
      <diagonal/>
    </border>
    <border>
      <left style="medium">
        <color auto="1"/>
      </left>
      <right style="thin">
        <color auto="1"/>
      </right>
      <top style="medium">
        <color auto="1"/>
      </top>
      <bottom style="hair">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thin">
        <color auto="1"/>
      </bottom>
      <diagonal/>
    </border>
    <border>
      <left/>
      <right/>
      <top/>
      <bottom style="dotted">
        <color auto="1"/>
      </bottom>
      <diagonal/>
    </border>
    <border>
      <left/>
      <right/>
      <top style="dotted">
        <color auto="1"/>
      </top>
      <bottom style="dotted">
        <color auto="1"/>
      </bottom>
      <diagonal/>
    </border>
    <border>
      <left style="thin">
        <color auto="1"/>
      </left>
      <right/>
      <top/>
      <bottom style="medium">
        <color auto="1"/>
      </bottom>
      <diagonal/>
    </border>
    <border>
      <left/>
      <right style="thin">
        <color auto="1"/>
      </right>
      <top style="medium">
        <color auto="1"/>
      </top>
      <bottom style="medium">
        <color auto="1"/>
      </bottom>
      <diagonal/>
    </border>
    <border>
      <left style="medium">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medium">
        <color auto="1"/>
      </top>
      <bottom style="thin">
        <color auto="1"/>
      </bottom>
      <diagonal/>
    </border>
    <border>
      <left/>
      <right style="thin">
        <color auto="1"/>
      </right>
      <top style="hair">
        <color auto="1"/>
      </top>
      <bottom style="medium">
        <color auto="1"/>
      </bottom>
      <diagonal/>
    </border>
    <border>
      <left style="medium">
        <color auto="1"/>
      </left>
      <right/>
      <top style="medium">
        <color auto="1"/>
      </top>
      <bottom style="hair">
        <color auto="1"/>
      </bottom>
      <diagonal/>
    </border>
    <border>
      <left/>
      <right style="thin">
        <color auto="1"/>
      </right>
      <top style="medium">
        <color auto="1"/>
      </top>
      <bottom style="hair">
        <color auto="1"/>
      </bottom>
      <diagonal/>
    </border>
    <border>
      <left/>
      <right style="hair">
        <color auto="1"/>
      </right>
      <top style="thin">
        <color auto="1"/>
      </top>
      <bottom/>
      <diagonal/>
    </border>
    <border>
      <left/>
      <right style="hair">
        <color auto="1"/>
      </right>
      <top/>
      <bottom style="thin">
        <color auto="1"/>
      </bottom>
      <diagonal/>
    </border>
    <border>
      <left style="thin">
        <color auto="1"/>
      </left>
      <right/>
      <top style="medium">
        <color auto="1"/>
      </top>
      <bottom style="medium">
        <color auto="1"/>
      </bottom>
      <diagonal/>
    </border>
    <border>
      <left style="thin">
        <color auto="1"/>
      </left>
      <right/>
      <top style="medium">
        <color auto="1"/>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indexed="22"/>
      </top>
      <bottom/>
      <diagonal/>
    </border>
    <border>
      <left style="hair">
        <color auto="1"/>
      </left>
      <right style="hair">
        <color auto="1"/>
      </right>
      <top style="thin">
        <color auto="1"/>
      </top>
      <bottom/>
      <diagonal/>
    </border>
    <border>
      <left style="thin">
        <color auto="1"/>
      </left>
      <right style="thin">
        <color auto="1"/>
      </right>
      <top style="thin">
        <color auto="1"/>
      </top>
      <bottom style="hair">
        <color auto="1"/>
      </bottom>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thin">
        <color auto="1"/>
      </right>
      <top style="thin">
        <color auto="1"/>
      </top>
      <bottom style="hair">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indexed="9"/>
      </top>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hair">
        <color auto="1"/>
      </right>
      <top style="thin">
        <color auto="1"/>
      </top>
      <bottom style="hair">
        <color auto="1"/>
      </bottom>
      <diagonal/>
    </border>
    <border>
      <left style="medium">
        <color auto="1"/>
      </left>
      <right/>
      <top style="thin">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medium">
        <color auto="1"/>
      </right>
      <top style="thin">
        <color auto="1"/>
      </top>
      <bottom style="hair">
        <color auto="1"/>
      </bottom>
      <diagonal/>
    </border>
    <border>
      <left/>
      <right/>
      <top style="thin">
        <color auto="1"/>
      </top>
      <bottom style="hair">
        <color auto="1"/>
      </bottom>
      <diagonal/>
    </border>
    <border>
      <left style="thin">
        <color auto="1"/>
      </left>
      <right style="medium">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style="thin">
        <color auto="1"/>
      </top>
      <bottom style="hair">
        <color auto="1"/>
      </bottom>
      <diagonal/>
    </border>
  </borders>
  <cellStyleXfs count="5">
    <xf numFmtId="0" fontId="0" fillId="0" borderId="0"/>
    <xf numFmtId="43" fontId="3" fillId="0" borderId="0" applyFont="0" applyFill="0" applyBorder="0" applyAlignment="0" applyProtection="0"/>
    <xf numFmtId="0" fontId="23" fillId="0" borderId="0" applyNumberFormat="0" applyFill="0" applyBorder="0" applyAlignment="0" applyProtection="0">
      <alignment vertical="top"/>
      <protection locked="0"/>
    </xf>
    <xf numFmtId="9" fontId="3" fillId="0" borderId="0" applyFont="0" applyFill="0" applyBorder="0" applyAlignment="0" applyProtection="0"/>
    <xf numFmtId="178" fontId="24" fillId="0" borderId="0"/>
  </cellStyleXfs>
  <cellXfs count="1283">
    <xf numFmtId="0" fontId="0" fillId="0" borderId="0" xfId="0"/>
    <xf numFmtId="0" fontId="11" fillId="0" borderId="1" xfId="0" applyFont="1" applyBorder="1" applyAlignment="1" applyProtection="1">
      <alignment horizontal="left" vertical="center"/>
      <protection hidden="1"/>
    </xf>
    <xf numFmtId="0" fontId="0" fillId="0" borderId="1" xfId="0" applyBorder="1" applyAlignment="1" applyProtection="1">
      <alignment vertical="center"/>
      <protection hidden="1"/>
    </xf>
    <xf numFmtId="17" fontId="7" fillId="0" borderId="2" xfId="0" applyNumberFormat="1" applyFont="1" applyBorder="1" applyAlignment="1" applyProtection="1">
      <alignment vertical="center"/>
      <protection hidden="1"/>
    </xf>
    <xf numFmtId="17" fontId="7" fillId="0" borderId="2" xfId="0" applyNumberFormat="1" applyFont="1" applyBorder="1" applyAlignment="1" applyProtection="1">
      <alignment horizontal="center" vertical="center"/>
      <protection hidden="1"/>
    </xf>
    <xf numFmtId="0" fontId="7" fillId="0" borderId="2" xfId="0" applyFont="1" applyBorder="1" applyAlignment="1" applyProtection="1">
      <alignment vertical="center"/>
      <protection hidden="1"/>
    </xf>
    <xf numFmtId="0" fontId="0" fillId="0" borderId="2" xfId="0" applyBorder="1" applyAlignment="1" applyProtection="1">
      <alignment vertical="center"/>
      <protection hidden="1"/>
    </xf>
    <xf numFmtId="0" fontId="0" fillId="0" borderId="3" xfId="0" applyBorder="1" applyAlignment="1" applyProtection="1">
      <alignment vertical="center"/>
      <protection hidden="1"/>
    </xf>
    <xf numFmtId="0" fontId="0" fillId="0" borderId="0" xfId="0" applyProtection="1">
      <protection hidden="1"/>
    </xf>
    <xf numFmtId="0" fontId="15" fillId="2" borderId="4" xfId="0" applyFont="1" applyFill="1" applyBorder="1" applyAlignment="1" applyProtection="1">
      <alignment vertical="center"/>
      <protection hidden="1"/>
    </xf>
    <xf numFmtId="0" fontId="4" fillId="2" borderId="2" xfId="0" applyFont="1" applyFill="1" applyBorder="1" applyAlignment="1" applyProtection="1">
      <alignment vertical="center"/>
      <protection hidden="1"/>
    </xf>
    <xf numFmtId="0" fontId="7" fillId="2" borderId="2" xfId="0" applyFont="1" applyFill="1" applyBorder="1" applyAlignment="1" applyProtection="1">
      <alignment vertical="center"/>
      <protection hidden="1"/>
    </xf>
    <xf numFmtId="0" fontId="1" fillId="2" borderId="2" xfId="0" applyFont="1" applyFill="1" applyBorder="1" applyAlignment="1" applyProtection="1">
      <alignment vertical="center"/>
      <protection hidden="1"/>
    </xf>
    <xf numFmtId="0" fontId="0" fillId="0" borderId="0" xfId="0" applyAlignment="1" applyProtection="1">
      <alignment vertical="center"/>
      <protection hidden="1"/>
    </xf>
    <xf numFmtId="0" fontId="0" fillId="0" borderId="0" xfId="0" applyAlignment="1" applyProtection="1">
      <alignment horizontal="center"/>
      <protection hidden="1"/>
    </xf>
    <xf numFmtId="0" fontId="5" fillId="0" borderId="0" xfId="0" applyFont="1" applyAlignment="1" applyProtection="1">
      <alignment vertical="center"/>
      <protection hidden="1"/>
    </xf>
    <xf numFmtId="0" fontId="0" fillId="3" borderId="0" xfId="0" applyFill="1" applyAlignment="1" applyProtection="1">
      <alignment horizontal="left"/>
      <protection hidden="1"/>
    </xf>
    <xf numFmtId="49" fontId="5" fillId="0" borderId="0" xfId="0" applyNumberFormat="1" applyFont="1" applyAlignment="1" applyProtection="1">
      <alignment vertical="center"/>
      <protection hidden="1"/>
    </xf>
    <xf numFmtId="0" fontId="0" fillId="4" borderId="0" xfId="0" applyFill="1" applyAlignment="1" applyProtection="1">
      <alignment horizontal="left"/>
      <protection hidden="1"/>
    </xf>
    <xf numFmtId="0" fontId="0" fillId="5" borderId="0" xfId="0" applyFill="1" applyAlignment="1" applyProtection="1">
      <alignment horizontal="left"/>
      <protection hidden="1"/>
    </xf>
    <xf numFmtId="0" fontId="0" fillId="6" borderId="0" xfId="0" applyFill="1" applyAlignment="1" applyProtection="1">
      <alignment horizontal="left"/>
      <protection hidden="1"/>
    </xf>
    <xf numFmtId="0" fontId="0" fillId="7" borderId="0" xfId="0" applyFill="1" applyAlignment="1" applyProtection="1">
      <alignment horizontal="left"/>
      <protection hidden="1"/>
    </xf>
    <xf numFmtId="0" fontId="0" fillId="0" borderId="5" xfId="0" applyBorder="1" applyProtection="1">
      <protection hidden="1"/>
    </xf>
    <xf numFmtId="0" fontId="0" fillId="0" borderId="7" xfId="0" applyBorder="1" applyProtection="1">
      <protection hidden="1"/>
    </xf>
    <xf numFmtId="0" fontId="0" fillId="0" borderId="8" xfId="0" applyBorder="1" applyAlignment="1" applyProtection="1">
      <alignment horizontal="left" indent="1"/>
      <protection hidden="1"/>
    </xf>
    <xf numFmtId="0" fontId="0" fillId="0" borderId="3" xfId="0" applyBorder="1" applyProtection="1">
      <protection hidden="1"/>
    </xf>
    <xf numFmtId="189" fontId="0" fillId="0" borderId="0" xfId="0" applyNumberFormat="1" applyAlignment="1" applyProtection="1">
      <alignment horizontal="center"/>
      <protection hidden="1"/>
    </xf>
    <xf numFmtId="189" fontId="1" fillId="0" borderId="0" xfId="0" applyNumberFormat="1" applyFont="1" applyAlignment="1" applyProtection="1">
      <alignment horizontal="center"/>
      <protection hidden="1"/>
    </xf>
    <xf numFmtId="189" fontId="1" fillId="0" borderId="3" xfId="0" applyNumberFormat="1" applyFont="1" applyBorder="1" applyAlignment="1" applyProtection="1">
      <alignment horizontal="center"/>
      <protection hidden="1"/>
    </xf>
    <xf numFmtId="0" fontId="1" fillId="0" borderId="3" xfId="0" applyFont="1" applyBorder="1" applyAlignment="1" applyProtection="1">
      <alignment horizontal="center"/>
      <protection hidden="1"/>
    </xf>
    <xf numFmtId="0" fontId="4" fillId="0" borderId="0" xfId="0" applyFont="1" applyAlignment="1" applyProtection="1">
      <alignment vertical="center"/>
      <protection hidden="1"/>
    </xf>
    <xf numFmtId="176" fontId="3" fillId="0" borderId="0" xfId="0" applyNumberFormat="1" applyFont="1" applyProtection="1">
      <protection hidden="1"/>
    </xf>
    <xf numFmtId="0" fontId="18" fillId="3" borderId="0" xfId="0" applyFont="1" applyFill="1" applyProtection="1">
      <protection hidden="1"/>
    </xf>
    <xf numFmtId="0" fontId="0" fillId="3" borderId="0" xfId="0" applyFill="1" applyProtection="1">
      <protection hidden="1"/>
    </xf>
    <xf numFmtId="0" fontId="1" fillId="0" borderId="0" xfId="0" applyFont="1" applyProtection="1">
      <protection hidden="1"/>
    </xf>
    <xf numFmtId="0" fontId="0" fillId="0" borderId="0" xfId="0" applyAlignment="1" applyProtection="1">
      <alignment horizontal="left" indent="1"/>
      <protection hidden="1"/>
    </xf>
    <xf numFmtId="176" fontId="3" fillId="7" borderId="0" xfId="0" applyNumberFormat="1" applyFont="1" applyFill="1" applyAlignment="1" applyProtection="1">
      <alignment horizontal="right"/>
      <protection hidden="1"/>
    </xf>
    <xf numFmtId="0" fontId="6" fillId="0" borderId="0" xfId="0" applyFont="1" applyProtection="1">
      <protection hidden="1"/>
    </xf>
    <xf numFmtId="176" fontId="3" fillId="7" borderId="0" xfId="0" applyNumberFormat="1" applyFont="1" applyFill="1" applyProtection="1">
      <protection hidden="1"/>
    </xf>
    <xf numFmtId="176" fontId="3" fillId="0" borderId="10" xfId="0" applyNumberFormat="1" applyFont="1" applyBorder="1" applyProtection="1">
      <protection hidden="1"/>
    </xf>
    <xf numFmtId="0" fontId="17" fillId="0" borderId="0" xfId="0" applyFont="1" applyProtection="1">
      <protection hidden="1"/>
    </xf>
    <xf numFmtId="176" fontId="3" fillId="0" borderId="13" xfId="0" applyNumberFormat="1" applyFont="1" applyBorder="1" applyProtection="1">
      <protection hidden="1"/>
    </xf>
    <xf numFmtId="0" fontId="12" fillId="0" borderId="0" xfId="0" applyFont="1" applyAlignment="1" applyProtection="1">
      <alignment horizontal="right"/>
      <protection hidden="1"/>
    </xf>
    <xf numFmtId="176" fontId="0" fillId="0" borderId="0" xfId="0" applyNumberFormat="1" applyProtection="1">
      <protection hidden="1"/>
    </xf>
    <xf numFmtId="190" fontId="0" fillId="3" borderId="8" xfId="0" applyNumberFormat="1" applyFill="1" applyBorder="1" applyAlignment="1" applyProtection="1">
      <alignment horizontal="center"/>
      <protection hidden="1"/>
    </xf>
    <xf numFmtId="190" fontId="0" fillId="4" borderId="8" xfId="0" applyNumberFormat="1" applyFill="1" applyBorder="1" applyAlignment="1" applyProtection="1">
      <alignment horizontal="center"/>
      <protection hidden="1"/>
    </xf>
    <xf numFmtId="190" fontId="0" fillId="5" borderId="8" xfId="0" applyNumberFormat="1" applyFill="1" applyBorder="1" applyAlignment="1" applyProtection="1">
      <alignment horizontal="center"/>
      <protection hidden="1"/>
    </xf>
    <xf numFmtId="190" fontId="0" fillId="6" borderId="8" xfId="0" applyNumberFormat="1" applyFill="1" applyBorder="1" applyAlignment="1" applyProtection="1">
      <alignment horizontal="center"/>
      <protection hidden="1"/>
    </xf>
    <xf numFmtId="190" fontId="0" fillId="7" borderId="8" xfId="0" applyNumberFormat="1" applyFill="1" applyBorder="1" applyAlignment="1" applyProtection="1">
      <alignment horizontal="center"/>
      <protection hidden="1"/>
    </xf>
    <xf numFmtId="0" fontId="0" fillId="0" borderId="0" xfId="0" applyAlignment="1" applyProtection="1">
      <alignment wrapText="1"/>
      <protection hidden="1"/>
    </xf>
    <xf numFmtId="0" fontId="46" fillId="0" borderId="0" xfId="0" applyFont="1" applyProtection="1">
      <protection hidden="1"/>
    </xf>
    <xf numFmtId="176" fontId="46" fillId="0" borderId="0" xfId="0" applyNumberFormat="1" applyFont="1" applyProtection="1">
      <protection hidden="1"/>
    </xf>
    <xf numFmtId="176" fontId="46" fillId="0" borderId="0" xfId="0" applyNumberFormat="1" applyFont="1" applyAlignment="1" applyProtection="1">
      <alignment horizontal="right"/>
      <protection hidden="1"/>
    </xf>
    <xf numFmtId="2" fontId="46" fillId="0" borderId="0" xfId="0" applyNumberFormat="1" applyFont="1" applyProtection="1">
      <protection hidden="1"/>
    </xf>
    <xf numFmtId="0" fontId="19" fillId="0" borderId="0" xfId="2" applyFont="1" applyFill="1" applyAlignment="1" applyProtection="1">
      <protection hidden="1"/>
    </xf>
    <xf numFmtId="0" fontId="19" fillId="0" borderId="0" xfId="2" applyFont="1" applyFill="1" applyAlignment="1" applyProtection="1">
      <alignment horizontal="left"/>
      <protection hidden="1"/>
    </xf>
    <xf numFmtId="0" fontId="19" fillId="0" borderId="0" xfId="2" applyFont="1" applyFill="1" applyAlignment="1" applyProtection="1">
      <alignment horizontal="left" vertical="top"/>
      <protection hidden="1"/>
    </xf>
    <xf numFmtId="0" fontId="31" fillId="0" borderId="0" xfId="0" applyFont="1" applyProtection="1">
      <protection hidden="1"/>
    </xf>
    <xf numFmtId="0" fontId="44" fillId="0" borderId="0" xfId="0" applyFont="1" applyProtection="1">
      <protection hidden="1"/>
    </xf>
    <xf numFmtId="0" fontId="19" fillId="0" borderId="0" xfId="2" applyFont="1" applyAlignment="1" applyProtection="1">
      <alignment horizontal="left" vertical="top"/>
      <protection hidden="1"/>
    </xf>
    <xf numFmtId="0" fontId="7" fillId="0" borderId="0" xfId="0" applyFont="1" applyAlignment="1" applyProtection="1">
      <alignment vertical="center"/>
      <protection hidden="1"/>
    </xf>
    <xf numFmtId="0" fontId="23" fillId="0" borderId="0" xfId="2" applyAlignment="1" applyProtection="1">
      <alignment vertical="center"/>
      <protection hidden="1"/>
    </xf>
    <xf numFmtId="0" fontId="0" fillId="0" borderId="0" xfId="0" applyProtection="1">
      <protection locked="0" hidden="1"/>
    </xf>
    <xf numFmtId="0" fontId="48" fillId="0" borderId="0" xfId="0" applyFont="1" applyProtection="1">
      <protection hidden="1"/>
    </xf>
    <xf numFmtId="0" fontId="0" fillId="3" borderId="0" xfId="0" applyFill="1" applyAlignment="1" applyProtection="1">
      <alignment horizontal="center"/>
      <protection hidden="1"/>
    </xf>
    <xf numFmtId="0" fontId="22" fillId="3" borderId="0" xfId="0" applyFont="1" applyFill="1" applyAlignment="1" applyProtection="1">
      <alignment horizontal="center" vertical="center"/>
      <protection hidden="1"/>
    </xf>
    <xf numFmtId="0" fontId="0" fillId="0" borderId="14" xfId="0" applyBorder="1" applyProtection="1">
      <protection hidden="1"/>
    </xf>
    <xf numFmtId="0" fontId="0" fillId="0" borderId="0" xfId="0" applyAlignment="1" applyProtection="1">
      <alignment vertical="center" wrapText="1"/>
      <protection hidden="1"/>
    </xf>
    <xf numFmtId="176" fontId="21" fillId="0" borderId="15" xfId="0" applyNumberFormat="1" applyFont="1" applyBorder="1" applyAlignment="1" applyProtection="1">
      <alignment horizontal="center"/>
      <protection hidden="1"/>
    </xf>
    <xf numFmtId="176" fontId="21" fillId="0" borderId="14" xfId="0" applyNumberFormat="1" applyFont="1" applyBorder="1" applyAlignment="1" applyProtection="1">
      <alignment horizontal="center"/>
      <protection hidden="1"/>
    </xf>
    <xf numFmtId="10" fontId="21" fillId="0" borderId="16" xfId="0" applyNumberFormat="1" applyFont="1" applyBorder="1" applyAlignment="1" applyProtection="1">
      <alignment horizontal="center"/>
      <protection hidden="1"/>
    </xf>
    <xf numFmtId="176" fontId="21" fillId="0" borderId="17" xfId="0" applyNumberFormat="1" applyFont="1" applyBorder="1" applyAlignment="1" applyProtection="1">
      <alignment horizontal="center"/>
      <protection hidden="1"/>
    </xf>
    <xf numFmtId="176" fontId="21" fillId="0" borderId="0" xfId="0" applyNumberFormat="1" applyFont="1" applyAlignment="1" applyProtection="1">
      <alignment horizontal="center"/>
      <protection hidden="1"/>
    </xf>
    <xf numFmtId="10" fontId="21" fillId="0" borderId="18" xfId="0" applyNumberFormat="1" applyFont="1" applyBorder="1" applyAlignment="1" applyProtection="1">
      <alignment horizontal="center"/>
      <protection hidden="1"/>
    </xf>
    <xf numFmtId="176" fontId="21" fillId="0" borderId="19" xfId="0" applyNumberFormat="1" applyFont="1" applyBorder="1" applyAlignment="1" applyProtection="1">
      <alignment horizontal="center"/>
      <protection hidden="1"/>
    </xf>
    <xf numFmtId="14" fontId="0" fillId="0" borderId="0" xfId="0" applyNumberFormat="1" applyProtection="1">
      <protection hidden="1"/>
    </xf>
    <xf numFmtId="173" fontId="0" fillId="0" borderId="0" xfId="0" applyNumberFormat="1" applyAlignment="1" applyProtection="1">
      <alignment horizontal="center"/>
      <protection hidden="1"/>
    </xf>
    <xf numFmtId="176" fontId="0" fillId="0" borderId="0" xfId="0" applyNumberFormat="1" applyAlignment="1" applyProtection="1">
      <alignment horizontal="center"/>
      <protection hidden="1"/>
    </xf>
    <xf numFmtId="174" fontId="0" fillId="0" borderId="0" xfId="0" applyNumberFormat="1" applyProtection="1">
      <protection hidden="1"/>
    </xf>
    <xf numFmtId="176" fontId="20" fillId="0" borderId="0" xfId="0" applyNumberFormat="1" applyFont="1" applyAlignment="1" applyProtection="1">
      <alignment horizontal="center"/>
      <protection hidden="1"/>
    </xf>
    <xf numFmtId="10" fontId="0" fillId="0" borderId="0" xfId="0" applyNumberFormat="1" applyAlignment="1" applyProtection="1">
      <alignment horizontal="center"/>
      <protection hidden="1"/>
    </xf>
    <xf numFmtId="176" fontId="0" fillId="0" borderId="19" xfId="0" applyNumberFormat="1" applyBorder="1" applyAlignment="1" applyProtection="1">
      <alignment horizontal="center"/>
      <protection hidden="1"/>
    </xf>
    <xf numFmtId="176" fontId="46" fillId="0" borderId="17" xfId="0" applyNumberFormat="1" applyFont="1" applyBorder="1" applyAlignment="1" applyProtection="1">
      <alignment horizontal="center"/>
      <protection hidden="1"/>
    </xf>
    <xf numFmtId="0" fontId="30" fillId="0" borderId="0" xfId="0" applyFont="1" applyAlignment="1" applyProtection="1">
      <alignment horizontal="center"/>
      <protection hidden="1"/>
    </xf>
    <xf numFmtId="0" fontId="22" fillId="0" borderId="0" xfId="0" applyFont="1" applyAlignment="1" applyProtection="1">
      <alignment horizontal="center"/>
      <protection hidden="1"/>
    </xf>
    <xf numFmtId="0" fontId="0" fillId="0" borderId="0" xfId="0" applyAlignment="1" applyProtection="1">
      <alignment horizontal="right"/>
      <protection hidden="1"/>
    </xf>
    <xf numFmtId="0" fontId="0" fillId="3" borderId="0" xfId="0" applyFill="1" applyProtection="1">
      <protection locked="0" hidden="1"/>
    </xf>
    <xf numFmtId="0" fontId="0" fillId="0" borderId="0" xfId="0" applyAlignment="1" applyProtection="1">
      <alignment horizontal="right" vertical="center"/>
      <protection hidden="1"/>
    </xf>
    <xf numFmtId="0" fontId="3" fillId="0" borderId="0" xfId="0" applyFont="1" applyProtection="1">
      <protection hidden="1"/>
    </xf>
    <xf numFmtId="0" fontId="0" fillId="9" borderId="0" xfId="0" applyFill="1" applyProtection="1">
      <protection hidden="1"/>
    </xf>
    <xf numFmtId="49" fontId="1" fillId="9" borderId="0" xfId="0" applyNumberFormat="1" applyFont="1" applyFill="1" applyAlignment="1" applyProtection="1">
      <alignment vertical="center"/>
      <protection hidden="1"/>
    </xf>
    <xf numFmtId="49" fontId="0" fillId="9" borderId="0" xfId="0" applyNumberFormat="1" applyFill="1" applyAlignment="1" applyProtection="1">
      <alignment vertical="center"/>
      <protection hidden="1"/>
    </xf>
    <xf numFmtId="169" fontId="15" fillId="9" borderId="4" xfId="0" applyNumberFormat="1" applyFont="1" applyFill="1" applyBorder="1" applyAlignment="1" applyProtection="1">
      <alignment horizontal="center" vertical="center"/>
      <protection hidden="1"/>
    </xf>
    <xf numFmtId="0" fontId="15" fillId="9" borderId="20" xfId="0" applyFont="1" applyFill="1" applyBorder="1" applyAlignment="1" applyProtection="1">
      <alignment horizontal="left" vertical="center"/>
      <protection hidden="1"/>
    </xf>
    <xf numFmtId="0" fontId="0" fillId="0" borderId="4" xfId="0" applyBorder="1" applyAlignment="1" applyProtection="1">
      <alignment vertical="center"/>
      <protection hidden="1"/>
    </xf>
    <xf numFmtId="20" fontId="5" fillId="0" borderId="2" xfId="0" applyNumberFormat="1" applyFont="1" applyBorder="1" applyAlignment="1" applyProtection="1">
      <alignment vertical="center"/>
      <protection hidden="1"/>
    </xf>
    <xf numFmtId="0" fontId="5" fillId="0" borderId="2" xfId="0" applyFont="1" applyBorder="1" applyAlignment="1" applyProtection="1">
      <alignment vertical="center"/>
      <protection hidden="1"/>
    </xf>
    <xf numFmtId="0" fontId="4" fillId="0" borderId="2" xfId="0" applyFont="1" applyBorder="1" applyAlignment="1" applyProtection="1">
      <alignment vertical="center"/>
      <protection hidden="1"/>
    </xf>
    <xf numFmtId="0" fontId="4" fillId="0" borderId="4" xfId="0" applyFont="1" applyBorder="1" applyAlignment="1" applyProtection="1">
      <alignment vertical="center"/>
      <protection hidden="1"/>
    </xf>
    <xf numFmtId="0" fontId="16" fillId="0" borderId="2" xfId="0" applyFont="1" applyBorder="1" applyAlignment="1" applyProtection="1">
      <alignment vertical="center"/>
      <protection hidden="1"/>
    </xf>
    <xf numFmtId="0" fontId="16" fillId="0" borderId="2" xfId="0" applyFont="1" applyBorder="1" applyAlignment="1" applyProtection="1">
      <alignment horizontal="right" vertical="center"/>
      <protection hidden="1"/>
    </xf>
    <xf numFmtId="0" fontId="16" fillId="0" borderId="20" xfId="0" applyFont="1" applyBorder="1" applyAlignment="1" applyProtection="1">
      <alignment horizontal="left" vertical="center"/>
      <protection hidden="1"/>
    </xf>
    <xf numFmtId="0" fontId="4" fillId="9" borderId="0" xfId="0" applyFont="1" applyFill="1" applyAlignment="1" applyProtection="1">
      <alignment vertical="center"/>
      <protection hidden="1"/>
    </xf>
    <xf numFmtId="173" fontId="29" fillId="0" borderId="21" xfId="0" applyNumberFormat="1" applyFont="1" applyBorder="1" applyAlignment="1" applyProtection="1">
      <alignment horizontal="center"/>
      <protection hidden="1"/>
    </xf>
    <xf numFmtId="173" fontId="29" fillId="0" borderId="22" xfId="0" applyNumberFormat="1" applyFont="1" applyBorder="1" applyAlignment="1" applyProtection="1">
      <alignment horizontal="center"/>
      <protection hidden="1"/>
    </xf>
    <xf numFmtId="173" fontId="29" fillId="0" borderId="23" xfId="0" applyNumberFormat="1" applyFont="1" applyBorder="1" applyAlignment="1" applyProtection="1">
      <alignment horizontal="center"/>
      <protection hidden="1"/>
    </xf>
    <xf numFmtId="0" fontId="4" fillId="9" borderId="0" xfId="0" quotePrefix="1" applyFont="1" applyFill="1" applyAlignment="1" applyProtection="1">
      <alignment vertical="center"/>
      <protection hidden="1"/>
    </xf>
    <xf numFmtId="1" fontId="29" fillId="0" borderId="24" xfId="0" applyNumberFormat="1" applyFont="1" applyBorder="1" applyAlignment="1" applyProtection="1">
      <alignment horizontal="center"/>
      <protection hidden="1"/>
    </xf>
    <xf numFmtId="1" fontId="29" fillId="0" borderId="25" xfId="0" applyNumberFormat="1" applyFont="1" applyBorder="1" applyAlignment="1" applyProtection="1">
      <alignment horizontal="center"/>
      <protection hidden="1"/>
    </xf>
    <xf numFmtId="0" fontId="14" fillId="0" borderId="26" xfId="0" applyFont="1" applyBorder="1" applyAlignment="1" applyProtection="1">
      <alignment vertical="center"/>
      <protection hidden="1"/>
    </xf>
    <xf numFmtId="1" fontId="26" fillId="0" borderId="0" xfId="0" applyNumberFormat="1" applyFont="1" applyProtection="1">
      <protection hidden="1"/>
    </xf>
    <xf numFmtId="1" fontId="26" fillId="0" borderId="26" xfId="0" applyNumberFormat="1" applyFont="1" applyBorder="1" applyProtection="1">
      <protection hidden="1"/>
    </xf>
    <xf numFmtId="0" fontId="13" fillId="0" borderId="26" xfId="0" applyFont="1" applyBorder="1" applyAlignment="1" applyProtection="1">
      <alignment horizontal="right" vertical="center"/>
      <protection hidden="1"/>
    </xf>
    <xf numFmtId="164" fontId="0" fillId="9" borderId="0" xfId="0" applyNumberFormat="1" applyFill="1" applyProtection="1">
      <protection hidden="1"/>
    </xf>
    <xf numFmtId="49" fontId="17" fillId="9" borderId="0" xfId="0" applyNumberFormat="1" applyFont="1" applyFill="1" applyAlignment="1" applyProtection="1">
      <alignment vertical="center"/>
      <protection hidden="1"/>
    </xf>
    <xf numFmtId="176" fontId="0" fillId="9" borderId="0" xfId="0" applyNumberFormat="1" applyFill="1" applyProtection="1">
      <protection hidden="1"/>
    </xf>
    <xf numFmtId="0" fontId="23" fillId="0" borderId="0" xfId="2" applyBorder="1" applyAlignment="1" applyProtection="1">
      <alignment horizontal="right" vertical="center"/>
      <protection hidden="1"/>
    </xf>
    <xf numFmtId="0" fontId="37" fillId="0" borderId="0" xfId="0" applyFont="1" applyAlignment="1" applyProtection="1">
      <alignment vertical="center"/>
      <protection hidden="1"/>
    </xf>
    <xf numFmtId="0" fontId="37" fillId="0" borderId="0" xfId="0" applyFont="1" applyAlignment="1" applyProtection="1">
      <alignment horizontal="right" vertical="center"/>
      <protection hidden="1"/>
    </xf>
    <xf numFmtId="0" fontId="38" fillId="0" borderId="26" xfId="0" applyFont="1" applyBorder="1" applyAlignment="1" applyProtection="1">
      <alignment vertical="center"/>
      <protection hidden="1"/>
    </xf>
    <xf numFmtId="0" fontId="37" fillId="0" borderId="0" xfId="0" applyFont="1" applyAlignment="1" applyProtection="1">
      <alignment horizontal="right" vertical="top"/>
      <protection hidden="1"/>
    </xf>
    <xf numFmtId="49" fontId="37" fillId="0" borderId="0" xfId="0" applyNumberFormat="1" applyFont="1" applyAlignment="1" applyProtection="1">
      <alignment vertical="center"/>
      <protection hidden="1"/>
    </xf>
    <xf numFmtId="164" fontId="37" fillId="0" borderId="0" xfId="0" applyNumberFormat="1" applyFont="1" applyProtection="1">
      <protection hidden="1"/>
    </xf>
    <xf numFmtId="0" fontId="37" fillId="0" borderId="0" xfId="0" applyFont="1" applyProtection="1">
      <protection hidden="1"/>
    </xf>
    <xf numFmtId="0" fontId="37" fillId="0" borderId="28" xfId="0" applyFont="1" applyBorder="1" applyProtection="1">
      <protection hidden="1"/>
    </xf>
    <xf numFmtId="0" fontId="37" fillId="0" borderId="26" xfId="0" applyFont="1" applyBorder="1" applyAlignment="1" applyProtection="1">
      <alignment horizontal="right" vertical="center"/>
      <protection hidden="1"/>
    </xf>
    <xf numFmtId="171" fontId="37" fillId="0" borderId="29" xfId="0" applyNumberFormat="1" applyFont="1" applyBorder="1" applyAlignment="1" applyProtection="1">
      <alignment vertical="center"/>
      <protection hidden="1"/>
    </xf>
    <xf numFmtId="171" fontId="37" fillId="0" borderId="30" xfId="0" applyNumberFormat="1" applyFont="1" applyBorder="1" applyAlignment="1" applyProtection="1">
      <alignment vertical="center"/>
      <protection hidden="1"/>
    </xf>
    <xf numFmtId="176" fontId="3" fillId="0" borderId="31" xfId="0" applyNumberFormat="1" applyFont="1" applyBorder="1" applyAlignment="1" applyProtection="1">
      <alignment vertical="center"/>
      <protection hidden="1"/>
    </xf>
    <xf numFmtId="0" fontId="39" fillId="0" borderId="0" xfId="0" applyFont="1" applyProtection="1">
      <protection hidden="1"/>
    </xf>
    <xf numFmtId="164" fontId="37" fillId="0" borderId="32" xfId="0" applyNumberFormat="1" applyFont="1" applyBorder="1" applyAlignment="1" applyProtection="1">
      <alignment vertical="top"/>
      <protection hidden="1"/>
    </xf>
    <xf numFmtId="164" fontId="37" fillId="0" borderId="33" xfId="0" applyNumberFormat="1" applyFont="1" applyBorder="1" applyAlignment="1" applyProtection="1">
      <alignment vertical="top"/>
      <protection hidden="1"/>
    </xf>
    <xf numFmtId="0" fontId="37" fillId="0" borderId="11" xfId="0" applyFont="1" applyBorder="1" applyAlignment="1" applyProtection="1">
      <alignment horizontal="right" vertical="center"/>
      <protection hidden="1"/>
    </xf>
    <xf numFmtId="0" fontId="37" fillId="0" borderId="27" xfId="0" applyFont="1" applyBorder="1" applyAlignment="1" applyProtection="1">
      <alignment horizontal="center" vertical="center" wrapText="1"/>
      <protection hidden="1"/>
    </xf>
    <xf numFmtId="171" fontId="37" fillId="0" borderId="34" xfId="0" applyNumberFormat="1" applyFont="1" applyBorder="1" applyAlignment="1" applyProtection="1">
      <alignment vertical="center"/>
      <protection hidden="1"/>
    </xf>
    <xf numFmtId="171" fontId="37" fillId="0" borderId="35" xfId="0" applyNumberFormat="1" applyFont="1" applyBorder="1" applyAlignment="1" applyProtection="1">
      <alignment vertical="center"/>
      <protection hidden="1"/>
    </xf>
    <xf numFmtId="176" fontId="3" fillId="0" borderId="36" xfId="0" applyNumberFormat="1" applyFont="1" applyBorder="1" applyAlignment="1" applyProtection="1">
      <alignment vertical="center"/>
      <protection hidden="1"/>
    </xf>
    <xf numFmtId="164" fontId="37" fillId="0" borderId="9" xfId="0" applyNumberFormat="1" applyFont="1" applyBorder="1" applyAlignment="1" applyProtection="1">
      <alignment horizontal="left" vertical="center" wrapText="1"/>
      <protection hidden="1"/>
    </xf>
    <xf numFmtId="0" fontId="35" fillId="0" borderId="0" xfId="0" applyFont="1" applyProtection="1">
      <protection hidden="1"/>
    </xf>
    <xf numFmtId="0" fontId="40" fillId="0" borderId="0" xfId="0" applyFont="1" applyAlignment="1" applyProtection="1">
      <alignment horizontal="center" vertical="center" wrapText="1"/>
      <protection hidden="1"/>
    </xf>
    <xf numFmtId="171" fontId="3" fillId="7" borderId="38" xfId="0" applyNumberFormat="1" applyFont="1" applyFill="1" applyBorder="1" applyAlignment="1" applyProtection="1">
      <alignment vertical="center"/>
      <protection hidden="1"/>
    </xf>
    <xf numFmtId="164" fontId="0" fillId="9" borderId="0" xfId="0" applyNumberFormat="1" applyFill="1" applyAlignment="1" applyProtection="1">
      <alignment vertical="center"/>
      <protection hidden="1"/>
    </xf>
    <xf numFmtId="171" fontId="3" fillId="7" borderId="43" xfId="0" applyNumberFormat="1" applyFont="1" applyFill="1" applyBorder="1" applyAlignment="1" applyProtection="1">
      <alignment vertical="center"/>
      <protection hidden="1"/>
    </xf>
    <xf numFmtId="171" fontId="3" fillId="3" borderId="37" xfId="0" applyNumberFormat="1" applyFont="1" applyFill="1" applyBorder="1" applyAlignment="1" applyProtection="1">
      <alignment vertical="center"/>
      <protection hidden="1"/>
    </xf>
    <xf numFmtId="164" fontId="3" fillId="9" borderId="0" xfId="0" applyNumberFormat="1" applyFont="1" applyFill="1" applyAlignment="1" applyProtection="1">
      <alignment vertical="center"/>
      <protection hidden="1"/>
    </xf>
    <xf numFmtId="49" fontId="3" fillId="9" borderId="0" xfId="0" applyNumberFormat="1" applyFont="1" applyFill="1" applyAlignment="1" applyProtection="1">
      <alignment vertical="center"/>
      <protection hidden="1"/>
    </xf>
    <xf numFmtId="164" fontId="3" fillId="9" borderId="0" xfId="0" applyNumberFormat="1" applyFont="1" applyFill="1" applyProtection="1">
      <protection hidden="1"/>
    </xf>
    <xf numFmtId="0" fontId="3" fillId="9" borderId="0" xfId="0" applyFont="1" applyFill="1" applyProtection="1">
      <protection hidden="1"/>
    </xf>
    <xf numFmtId="0" fontId="3" fillId="0" borderId="26" xfId="0" applyFont="1" applyBorder="1" applyProtection="1">
      <protection hidden="1"/>
    </xf>
    <xf numFmtId="0" fontId="3" fillId="3" borderId="44" xfId="0" applyFont="1" applyFill="1" applyBorder="1" applyAlignment="1" applyProtection="1">
      <alignment horizontal="right" vertical="center"/>
      <protection hidden="1"/>
    </xf>
    <xf numFmtId="171" fontId="3" fillId="3" borderId="45" xfId="0" applyNumberFormat="1" applyFont="1" applyFill="1" applyBorder="1" applyAlignment="1" applyProtection="1">
      <alignment horizontal="center" vertical="center"/>
      <protection hidden="1"/>
    </xf>
    <xf numFmtId="171" fontId="3" fillId="3" borderId="31" xfId="0" applyNumberFormat="1" applyFont="1" applyFill="1" applyBorder="1" applyAlignment="1" applyProtection="1">
      <alignment vertical="center"/>
      <protection hidden="1"/>
    </xf>
    <xf numFmtId="171" fontId="3" fillId="3" borderId="32" xfId="0" applyNumberFormat="1" applyFont="1" applyFill="1" applyBorder="1" applyAlignment="1" applyProtection="1">
      <alignment vertical="center"/>
      <protection hidden="1"/>
    </xf>
    <xf numFmtId="171" fontId="3" fillId="3" borderId="11" xfId="0" quotePrefix="1" applyNumberFormat="1" applyFont="1" applyFill="1" applyBorder="1" applyAlignment="1" applyProtection="1">
      <alignment vertical="center"/>
      <protection hidden="1"/>
    </xf>
    <xf numFmtId="0" fontId="3" fillId="3" borderId="46" xfId="0" applyFont="1" applyFill="1" applyBorder="1" applyAlignment="1" applyProtection="1">
      <alignment horizontal="right" vertical="center"/>
      <protection hidden="1"/>
    </xf>
    <xf numFmtId="171" fontId="3" fillId="3" borderId="45" xfId="0" quotePrefix="1" applyNumberFormat="1" applyFont="1" applyFill="1" applyBorder="1" applyAlignment="1" applyProtection="1">
      <alignment horizontal="center" vertical="center"/>
      <protection hidden="1"/>
    </xf>
    <xf numFmtId="171" fontId="3" fillId="3" borderId="11" xfId="0" applyNumberFormat="1" applyFont="1" applyFill="1" applyBorder="1" applyAlignment="1" applyProtection="1">
      <alignment vertical="center"/>
      <protection hidden="1"/>
    </xf>
    <xf numFmtId="164" fontId="1" fillId="9" borderId="0" xfId="0" applyNumberFormat="1" applyFont="1" applyFill="1" applyAlignment="1" applyProtection="1">
      <alignment vertical="center"/>
      <protection hidden="1"/>
    </xf>
    <xf numFmtId="171" fontId="3" fillId="3" borderId="47" xfId="0" applyNumberFormat="1" applyFont="1" applyFill="1" applyBorder="1" applyAlignment="1" applyProtection="1">
      <alignment horizontal="center" vertical="center"/>
      <protection hidden="1"/>
    </xf>
    <xf numFmtId="171" fontId="3" fillId="3" borderId="0" xfId="0" applyNumberFormat="1" applyFont="1" applyFill="1" applyAlignment="1" applyProtection="1">
      <alignment vertical="center"/>
      <protection hidden="1"/>
    </xf>
    <xf numFmtId="171" fontId="3" fillId="3" borderId="48" xfId="0" applyNumberFormat="1" applyFont="1" applyFill="1" applyBorder="1" applyAlignment="1" applyProtection="1">
      <alignment vertical="center"/>
      <protection hidden="1"/>
    </xf>
    <xf numFmtId="0" fontId="3" fillId="3" borderId="37" xfId="0" applyFont="1" applyFill="1" applyBorder="1" applyAlignment="1" applyProtection="1">
      <alignment horizontal="right" vertical="center"/>
      <protection hidden="1"/>
    </xf>
    <xf numFmtId="171" fontId="3" fillId="3" borderId="27" xfId="0" applyNumberFormat="1" applyFont="1" applyFill="1" applyBorder="1" applyAlignment="1" applyProtection="1">
      <alignment horizontal="center" vertical="center"/>
      <protection hidden="1"/>
    </xf>
    <xf numFmtId="171" fontId="3" fillId="3" borderId="43" xfId="0" applyNumberFormat="1" applyFont="1" applyFill="1" applyBorder="1" applyAlignment="1" applyProtection="1">
      <alignment vertical="center"/>
      <protection hidden="1"/>
    </xf>
    <xf numFmtId="171" fontId="3" fillId="3" borderId="9" xfId="0" applyNumberFormat="1" applyFont="1" applyFill="1" applyBorder="1" applyAlignment="1" applyProtection="1">
      <alignment vertical="center"/>
      <protection hidden="1"/>
    </xf>
    <xf numFmtId="0" fontId="0" fillId="0" borderId="26" xfId="0" applyBorder="1" applyProtection="1">
      <protection hidden="1"/>
    </xf>
    <xf numFmtId="0" fontId="3" fillId="7" borderId="38" xfId="0" applyFont="1" applyFill="1" applyBorder="1" applyAlignment="1" applyProtection="1">
      <alignment horizontal="right" vertical="center"/>
      <protection hidden="1"/>
    </xf>
    <xf numFmtId="164" fontId="27" fillId="0" borderId="49" xfId="0" applyNumberFormat="1" applyFont="1" applyBorder="1" applyAlignment="1" applyProtection="1">
      <alignment vertical="center"/>
      <protection hidden="1"/>
    </xf>
    <xf numFmtId="164" fontId="27" fillId="0" borderId="22" xfId="0" applyNumberFormat="1" applyFont="1" applyBorder="1" applyAlignment="1" applyProtection="1">
      <alignment vertical="center"/>
      <protection hidden="1"/>
    </xf>
    <xf numFmtId="164" fontId="27" fillId="0" borderId="50" xfId="0" applyNumberFormat="1" applyFont="1" applyBorder="1" applyAlignment="1" applyProtection="1">
      <alignment vertical="center"/>
      <protection hidden="1"/>
    </xf>
    <xf numFmtId="0" fontId="3" fillId="7" borderId="31" xfId="0" applyFont="1" applyFill="1" applyBorder="1" applyAlignment="1" applyProtection="1">
      <alignment horizontal="right" vertical="center"/>
      <protection hidden="1"/>
    </xf>
    <xf numFmtId="164" fontId="27" fillId="0" borderId="29" xfId="0" applyNumberFormat="1" applyFont="1" applyBorder="1" applyAlignment="1" applyProtection="1">
      <alignment vertical="center"/>
      <protection hidden="1"/>
    </xf>
    <xf numFmtId="164" fontId="27" fillId="0" borderId="30" xfId="0" applyNumberFormat="1" applyFont="1" applyBorder="1" applyAlignment="1" applyProtection="1">
      <alignment vertical="center"/>
      <protection hidden="1"/>
    </xf>
    <xf numFmtId="164" fontId="27" fillId="0" borderId="51" xfId="0" applyNumberFormat="1" applyFont="1" applyBorder="1" applyAlignment="1" applyProtection="1">
      <alignment vertical="center"/>
      <protection hidden="1"/>
    </xf>
    <xf numFmtId="171" fontId="3" fillId="7" borderId="31" xfId="0" applyNumberFormat="1" applyFont="1" applyFill="1" applyBorder="1" applyAlignment="1" applyProtection="1">
      <alignment vertical="center"/>
      <protection hidden="1"/>
    </xf>
    <xf numFmtId="0" fontId="3" fillId="7" borderId="43" xfId="0" applyFont="1" applyFill="1" applyBorder="1" applyAlignment="1" applyProtection="1">
      <alignment horizontal="right" vertical="center"/>
      <protection hidden="1"/>
    </xf>
    <xf numFmtId="164" fontId="27" fillId="0" borderId="34" xfId="0" applyNumberFormat="1" applyFont="1" applyBorder="1" applyAlignment="1" applyProtection="1">
      <alignment vertical="center"/>
      <protection hidden="1"/>
    </xf>
    <xf numFmtId="164" fontId="27" fillId="0" borderId="35" xfId="0" applyNumberFormat="1" applyFont="1" applyBorder="1" applyAlignment="1" applyProtection="1">
      <alignment vertical="center"/>
      <protection hidden="1"/>
    </xf>
    <xf numFmtId="164" fontId="27" fillId="0" borderId="42" xfId="0" applyNumberFormat="1" applyFont="1" applyBorder="1" applyAlignment="1" applyProtection="1">
      <alignment vertical="center"/>
      <protection hidden="1"/>
    </xf>
    <xf numFmtId="0" fontId="1" fillId="0" borderId="26" xfId="0" applyFont="1" applyBorder="1" applyProtection="1">
      <protection hidden="1"/>
    </xf>
    <xf numFmtId="164" fontId="5" fillId="0" borderId="0" xfId="0" applyNumberFormat="1" applyFont="1" applyAlignment="1" applyProtection="1">
      <alignment vertical="center"/>
      <protection hidden="1"/>
    </xf>
    <xf numFmtId="49" fontId="0" fillId="0" borderId="0" xfId="0" applyNumberFormat="1" applyAlignment="1" applyProtection="1">
      <alignment vertical="center"/>
      <protection hidden="1"/>
    </xf>
    <xf numFmtId="164" fontId="0" fillId="0" borderId="0" xfId="0" applyNumberFormat="1" applyProtection="1">
      <protection hidden="1"/>
    </xf>
    <xf numFmtId="176" fontId="3" fillId="0" borderId="37" xfId="0" applyNumberFormat="1" applyFont="1" applyBorder="1" applyAlignment="1" applyProtection="1">
      <alignment vertical="center"/>
      <protection hidden="1"/>
    </xf>
    <xf numFmtId="0" fontId="4" fillId="0" borderId="54" xfId="0" applyFont="1" applyBorder="1" applyAlignment="1" applyProtection="1">
      <alignment vertical="center"/>
      <protection hidden="1"/>
    </xf>
    <xf numFmtId="0" fontId="4" fillId="0" borderId="55" xfId="0" applyFont="1" applyBorder="1" applyAlignment="1" applyProtection="1">
      <alignment vertical="center"/>
      <protection hidden="1"/>
    </xf>
    <xf numFmtId="0" fontId="3" fillId="4" borderId="56" xfId="0" applyFont="1" applyFill="1" applyBorder="1" applyAlignment="1" applyProtection="1">
      <alignment vertical="center"/>
      <protection hidden="1"/>
    </xf>
    <xf numFmtId="0" fontId="3" fillId="4" borderId="47" xfId="0" applyFont="1" applyFill="1" applyBorder="1" applyAlignment="1" applyProtection="1">
      <alignment vertical="center"/>
      <protection hidden="1"/>
    </xf>
    <xf numFmtId="171" fontId="3" fillId="4" borderId="31" xfId="0" applyNumberFormat="1" applyFont="1" applyFill="1" applyBorder="1" applyAlignment="1" applyProtection="1">
      <alignment vertical="center"/>
      <protection hidden="1"/>
    </xf>
    <xf numFmtId="0" fontId="4" fillId="0" borderId="53" xfId="0" applyFont="1" applyBorder="1" applyAlignment="1" applyProtection="1">
      <alignment vertical="center"/>
      <protection hidden="1"/>
    </xf>
    <xf numFmtId="0" fontId="3" fillId="4" borderId="57" xfId="0" applyFont="1" applyFill="1" applyBorder="1" applyAlignment="1" applyProtection="1">
      <alignment vertical="center"/>
      <protection hidden="1"/>
    </xf>
    <xf numFmtId="0" fontId="3" fillId="4" borderId="41" xfId="0" applyFont="1" applyFill="1" applyBorder="1" applyAlignment="1" applyProtection="1">
      <alignment vertical="center"/>
      <protection hidden="1"/>
    </xf>
    <xf numFmtId="171" fontId="3" fillId="4" borderId="43" xfId="0" applyNumberFormat="1" applyFont="1" applyFill="1" applyBorder="1" applyAlignment="1" applyProtection="1">
      <alignment vertical="center"/>
      <protection hidden="1"/>
    </xf>
    <xf numFmtId="0" fontId="3" fillId="5" borderId="56" xfId="0" applyFont="1" applyFill="1" applyBorder="1" applyAlignment="1" applyProtection="1">
      <alignment vertical="center"/>
      <protection hidden="1"/>
    </xf>
    <xf numFmtId="0" fontId="3" fillId="5" borderId="47" xfId="0" applyFont="1" applyFill="1" applyBorder="1" applyAlignment="1" applyProtection="1">
      <alignment vertical="center"/>
      <protection hidden="1"/>
    </xf>
    <xf numFmtId="171" fontId="3" fillId="5" borderId="31" xfId="0" applyNumberFormat="1" applyFont="1" applyFill="1" applyBorder="1" applyAlignment="1" applyProtection="1">
      <alignment vertical="center"/>
      <protection hidden="1"/>
    </xf>
    <xf numFmtId="0" fontId="3" fillId="5" borderId="57" xfId="0" applyFont="1" applyFill="1" applyBorder="1" applyAlignment="1" applyProtection="1">
      <alignment vertical="center"/>
      <protection hidden="1"/>
    </xf>
    <xf numFmtId="0" fontId="3" fillId="5" borderId="41" xfId="0" applyFont="1" applyFill="1" applyBorder="1" applyAlignment="1" applyProtection="1">
      <alignment vertical="center"/>
      <protection hidden="1"/>
    </xf>
    <xf numFmtId="171" fontId="3" fillId="5" borderId="43" xfId="0" applyNumberFormat="1" applyFont="1" applyFill="1" applyBorder="1" applyAlignment="1" applyProtection="1">
      <alignment vertical="center"/>
      <protection hidden="1"/>
    </xf>
    <xf numFmtId="0" fontId="3" fillId="6" borderId="56" xfId="0" applyFont="1" applyFill="1" applyBorder="1" applyAlignment="1" applyProtection="1">
      <alignment vertical="center"/>
      <protection hidden="1"/>
    </xf>
    <xf numFmtId="0" fontId="3" fillId="6" borderId="47" xfId="0" applyFont="1" applyFill="1" applyBorder="1" applyAlignment="1" applyProtection="1">
      <alignment vertical="center"/>
      <protection hidden="1"/>
    </xf>
    <xf numFmtId="171" fontId="3" fillId="6" borderId="31" xfId="0" applyNumberFormat="1" applyFont="1" applyFill="1" applyBorder="1" applyAlignment="1" applyProtection="1">
      <alignment vertical="center"/>
      <protection hidden="1"/>
    </xf>
    <xf numFmtId="0" fontId="3" fillId="6" borderId="57" xfId="0" applyFont="1" applyFill="1" applyBorder="1" applyAlignment="1" applyProtection="1">
      <alignment vertical="center"/>
      <protection hidden="1"/>
    </xf>
    <xf numFmtId="0" fontId="3" fillId="6" borderId="41" xfId="0" applyFont="1" applyFill="1" applyBorder="1" applyAlignment="1" applyProtection="1">
      <alignment vertical="center"/>
      <protection hidden="1"/>
    </xf>
    <xf numFmtId="171" fontId="3" fillId="6" borderId="43" xfId="0" applyNumberFormat="1" applyFont="1" applyFill="1" applyBorder="1" applyAlignment="1" applyProtection="1">
      <alignment vertical="center"/>
      <protection hidden="1"/>
    </xf>
    <xf numFmtId="0" fontId="3" fillId="7" borderId="56" xfId="0" applyFont="1" applyFill="1" applyBorder="1" applyAlignment="1" applyProtection="1">
      <alignment vertical="center"/>
      <protection hidden="1"/>
    </xf>
    <xf numFmtId="0" fontId="3" fillId="7" borderId="47" xfId="0" applyFont="1" applyFill="1" applyBorder="1" applyAlignment="1" applyProtection="1">
      <alignment vertical="center"/>
      <protection hidden="1"/>
    </xf>
    <xf numFmtId="0" fontId="3" fillId="7" borderId="58" xfId="0" applyFont="1" applyFill="1" applyBorder="1" applyAlignment="1" applyProtection="1">
      <alignment vertical="center"/>
      <protection hidden="1"/>
    </xf>
    <xf numFmtId="0" fontId="3" fillId="7" borderId="59" xfId="0" applyFont="1" applyFill="1" applyBorder="1" applyAlignment="1" applyProtection="1">
      <alignment vertical="center"/>
      <protection hidden="1"/>
    </xf>
    <xf numFmtId="0" fontId="3" fillId="0" borderId="0" xfId="0" applyFont="1" applyAlignment="1" applyProtection="1">
      <alignment vertical="center"/>
      <protection hidden="1"/>
    </xf>
    <xf numFmtId="0" fontId="0" fillId="0" borderId="9" xfId="0" applyBorder="1" applyAlignment="1" applyProtection="1">
      <alignment vertical="center"/>
      <protection hidden="1"/>
    </xf>
    <xf numFmtId="164" fontId="0" fillId="0" borderId="9" xfId="0" applyNumberFormat="1" applyBorder="1" applyAlignment="1" applyProtection="1">
      <alignment vertical="center"/>
      <protection hidden="1"/>
    </xf>
    <xf numFmtId="0" fontId="10" fillId="0" borderId="0" xfId="0" applyFont="1" applyAlignment="1" applyProtection="1">
      <alignment horizontal="left" vertical="center"/>
      <protection hidden="1"/>
    </xf>
    <xf numFmtId="14" fontId="16" fillId="0" borderId="0" xfId="0" applyNumberFormat="1" applyFont="1" applyAlignment="1" applyProtection="1">
      <alignment horizontal="left" vertical="center"/>
      <protection hidden="1"/>
    </xf>
    <xf numFmtId="14" fontId="16" fillId="0" borderId="0" xfId="0" applyNumberFormat="1" applyFont="1" applyAlignment="1" applyProtection="1">
      <alignment horizontal="left"/>
      <protection hidden="1"/>
    </xf>
    <xf numFmtId="170" fontId="0" fillId="0" borderId="0" xfId="0" applyNumberFormat="1" applyAlignment="1" applyProtection="1">
      <alignment vertical="center"/>
      <protection hidden="1"/>
    </xf>
    <xf numFmtId="0" fontId="0" fillId="0" borderId="9" xfId="0" applyBorder="1" applyProtection="1">
      <protection hidden="1"/>
    </xf>
    <xf numFmtId="14" fontId="10" fillId="0" borderId="0" xfId="0" applyNumberFormat="1" applyFont="1" applyAlignment="1" applyProtection="1">
      <alignment horizontal="left" vertical="center"/>
      <protection hidden="1"/>
    </xf>
    <xf numFmtId="0" fontId="0" fillId="0" borderId="0" xfId="0" applyAlignment="1" applyProtection="1">
      <alignment vertical="top" wrapText="1"/>
      <protection hidden="1"/>
    </xf>
    <xf numFmtId="0" fontId="0" fillId="0" borderId="3" xfId="0" applyBorder="1" applyAlignment="1" applyProtection="1">
      <alignment horizontal="right" vertical="top" wrapText="1"/>
      <protection hidden="1"/>
    </xf>
    <xf numFmtId="0" fontId="0" fillId="0" borderId="65" xfId="0" applyBorder="1" applyAlignment="1" applyProtection="1">
      <alignment vertical="top" wrapText="1"/>
      <protection hidden="1"/>
    </xf>
    <xf numFmtId="0" fontId="3" fillId="0" borderId="0" xfId="0" applyFont="1" applyAlignment="1" applyProtection="1">
      <alignment vertical="top" wrapText="1"/>
      <protection hidden="1"/>
    </xf>
    <xf numFmtId="164" fontId="0" fillId="0" borderId="0" xfId="0" applyNumberFormat="1" applyAlignment="1" applyProtection="1">
      <alignment vertical="top" wrapText="1"/>
      <protection hidden="1"/>
    </xf>
    <xf numFmtId="164" fontId="28" fillId="8" borderId="35" xfId="0" applyNumberFormat="1" applyFont="1" applyFill="1" applyBorder="1" applyAlignment="1" applyProtection="1">
      <alignment vertical="center"/>
      <protection locked="0" hidden="1"/>
    </xf>
    <xf numFmtId="164" fontId="28" fillId="8" borderId="42" xfId="0" applyNumberFormat="1" applyFont="1" applyFill="1" applyBorder="1" applyAlignment="1" applyProtection="1">
      <alignment vertical="center"/>
      <protection locked="0" hidden="1"/>
    </xf>
    <xf numFmtId="164" fontId="3" fillId="8" borderId="30" xfId="0" applyNumberFormat="1" applyFont="1" applyFill="1" applyBorder="1" applyAlignment="1" applyProtection="1">
      <alignment vertical="center"/>
      <protection locked="0" hidden="1"/>
    </xf>
    <xf numFmtId="173" fontId="29" fillId="0" borderId="69" xfId="0" applyNumberFormat="1" applyFont="1" applyBorder="1" applyAlignment="1" applyProtection="1">
      <alignment horizontal="center"/>
      <protection hidden="1"/>
    </xf>
    <xf numFmtId="1" fontId="29" fillId="0" borderId="70" xfId="0" applyNumberFormat="1" applyFont="1" applyBorder="1" applyAlignment="1" applyProtection="1">
      <alignment horizontal="center"/>
      <protection hidden="1"/>
    </xf>
    <xf numFmtId="1" fontId="26" fillId="0" borderId="71" xfId="0" applyNumberFormat="1" applyFont="1" applyBorder="1" applyProtection="1">
      <protection hidden="1"/>
    </xf>
    <xf numFmtId="0" fontId="0" fillId="0" borderId="46" xfId="0" applyBorder="1" applyProtection="1">
      <protection hidden="1"/>
    </xf>
    <xf numFmtId="0" fontId="0" fillId="0" borderId="46" xfId="0" applyBorder="1" applyAlignment="1" applyProtection="1">
      <alignment horizontal="right" vertical="center"/>
      <protection hidden="1"/>
    </xf>
    <xf numFmtId="0" fontId="10" fillId="0" borderId="46" xfId="0" applyFont="1" applyBorder="1" applyAlignment="1" applyProtection="1">
      <alignment horizontal="left" vertical="center"/>
      <protection hidden="1"/>
    </xf>
    <xf numFmtId="14" fontId="16" fillId="0" borderId="46" xfId="0" applyNumberFormat="1" applyFont="1" applyBorder="1" applyAlignment="1" applyProtection="1">
      <alignment horizontal="left" vertical="center"/>
      <protection hidden="1"/>
    </xf>
    <xf numFmtId="14" fontId="16" fillId="0" borderId="46" xfId="0" applyNumberFormat="1" applyFont="1" applyBorder="1" applyAlignment="1" applyProtection="1">
      <alignment horizontal="left"/>
      <protection hidden="1"/>
    </xf>
    <xf numFmtId="14" fontId="10" fillId="0" borderId="46" xfId="0" applyNumberFormat="1" applyFont="1" applyBorder="1" applyAlignment="1" applyProtection="1">
      <alignment horizontal="left" vertical="center"/>
      <protection hidden="1"/>
    </xf>
    <xf numFmtId="164" fontId="28" fillId="8" borderId="73" xfId="0" applyNumberFormat="1" applyFont="1" applyFill="1" applyBorder="1" applyAlignment="1" applyProtection="1">
      <alignment vertical="center"/>
      <protection locked="0" hidden="1"/>
    </xf>
    <xf numFmtId="0" fontId="0" fillId="0" borderId="71" xfId="0" applyBorder="1" applyProtection="1">
      <protection hidden="1"/>
    </xf>
    <xf numFmtId="0" fontId="11" fillId="2" borderId="2" xfId="0" applyFont="1" applyFill="1" applyBorder="1" applyAlignment="1" applyProtection="1">
      <alignment vertical="center"/>
      <protection hidden="1"/>
    </xf>
    <xf numFmtId="0" fontId="1" fillId="2" borderId="20" xfId="0" applyFont="1" applyFill="1" applyBorder="1" applyAlignment="1" applyProtection="1">
      <alignment vertical="center"/>
      <protection hidden="1"/>
    </xf>
    <xf numFmtId="0" fontId="0" fillId="0" borderId="75" xfId="0" applyBorder="1" applyProtection="1">
      <protection hidden="1"/>
    </xf>
    <xf numFmtId="0" fontId="0" fillId="0" borderId="76" xfId="0" applyBorder="1" applyProtection="1">
      <protection hidden="1"/>
    </xf>
    <xf numFmtId="0" fontId="0" fillId="0" borderId="28" xfId="0" applyBorder="1" applyProtection="1">
      <protection hidden="1"/>
    </xf>
    <xf numFmtId="1" fontId="0" fillId="0" borderId="0" xfId="0" applyNumberFormat="1" applyAlignment="1" applyProtection="1">
      <alignment horizontal="right"/>
      <protection hidden="1"/>
    </xf>
    <xf numFmtId="0" fontId="0" fillId="0" borderId="9" xfId="0" applyBorder="1" applyAlignment="1" applyProtection="1">
      <alignment horizontal="left"/>
      <protection hidden="1"/>
    </xf>
    <xf numFmtId="2" fontId="0" fillId="0" borderId="9" xfId="0" applyNumberFormat="1" applyBorder="1" applyAlignment="1" applyProtection="1">
      <alignment horizontal="left"/>
      <protection hidden="1"/>
    </xf>
    <xf numFmtId="171" fontId="0" fillId="0" borderId="0" xfId="0" applyNumberFormat="1" applyProtection="1">
      <protection hidden="1"/>
    </xf>
    <xf numFmtId="171" fontId="0" fillId="0" borderId="9" xfId="0" applyNumberFormat="1" applyBorder="1" applyAlignment="1" applyProtection="1">
      <alignment horizontal="left"/>
      <protection hidden="1"/>
    </xf>
    <xf numFmtId="171" fontId="0" fillId="0" borderId="0" xfId="0" applyNumberFormat="1" applyAlignment="1" applyProtection="1">
      <alignment horizontal="right"/>
      <protection hidden="1"/>
    </xf>
    <xf numFmtId="0" fontId="0" fillId="0" borderId="77" xfId="0" applyBorder="1" applyProtection="1">
      <protection hidden="1"/>
    </xf>
    <xf numFmtId="0" fontId="0" fillId="0" borderId="11" xfId="0" applyBorder="1" applyProtection="1">
      <protection hidden="1"/>
    </xf>
    <xf numFmtId="171" fontId="0" fillId="0" borderId="11" xfId="0" applyNumberFormat="1" applyBorder="1" applyAlignment="1" applyProtection="1">
      <alignment horizontal="right"/>
      <protection hidden="1"/>
    </xf>
    <xf numFmtId="171" fontId="0" fillId="0" borderId="0" xfId="0" applyNumberFormat="1" applyAlignment="1" applyProtection="1">
      <alignment horizontal="left"/>
      <protection hidden="1"/>
    </xf>
    <xf numFmtId="171" fontId="1" fillId="3" borderId="0" xfId="0" applyNumberFormat="1" applyFont="1" applyFill="1" applyAlignment="1" applyProtection="1">
      <alignment vertical="center"/>
      <protection hidden="1"/>
    </xf>
    <xf numFmtId="0" fontId="0" fillId="4" borderId="0" xfId="0" applyFill="1" applyProtection="1">
      <protection hidden="1"/>
    </xf>
    <xf numFmtId="171" fontId="1" fillId="4" borderId="0" xfId="0" applyNumberFormat="1" applyFont="1" applyFill="1" applyAlignment="1" applyProtection="1">
      <alignment vertical="center"/>
      <protection hidden="1"/>
    </xf>
    <xf numFmtId="0" fontId="0" fillId="5" borderId="0" xfId="0" applyFill="1" applyProtection="1">
      <protection hidden="1"/>
    </xf>
    <xf numFmtId="171" fontId="1" fillId="5" borderId="0" xfId="0" applyNumberFormat="1" applyFont="1" applyFill="1" applyAlignment="1" applyProtection="1">
      <alignment vertical="center"/>
      <protection hidden="1"/>
    </xf>
    <xf numFmtId="0" fontId="0" fillId="6" borderId="0" xfId="0" applyFill="1" applyProtection="1">
      <protection hidden="1"/>
    </xf>
    <xf numFmtId="171" fontId="1" fillId="6" borderId="0" xfId="0" applyNumberFormat="1" applyFont="1" applyFill="1" applyAlignment="1" applyProtection="1">
      <alignment vertical="center"/>
      <protection hidden="1"/>
    </xf>
    <xf numFmtId="0" fontId="0" fillId="7" borderId="0" xfId="0" applyFill="1" applyProtection="1">
      <protection hidden="1"/>
    </xf>
    <xf numFmtId="171" fontId="1" fillId="7" borderId="0" xfId="0" applyNumberFormat="1" applyFont="1" applyFill="1" applyAlignment="1" applyProtection="1">
      <alignment vertical="center"/>
      <protection hidden="1"/>
    </xf>
    <xf numFmtId="187" fontId="0" fillId="0" borderId="0" xfId="0" applyNumberFormat="1" applyAlignment="1" applyProtection="1">
      <alignment horizontal="center"/>
      <protection hidden="1"/>
    </xf>
    <xf numFmtId="0" fontId="41" fillId="0" borderId="2" xfId="0" applyFont="1" applyBorder="1" applyAlignment="1" applyProtection="1">
      <alignment vertical="center"/>
      <protection hidden="1"/>
    </xf>
    <xf numFmtId="0" fontId="0" fillId="0" borderId="78" xfId="0" applyBorder="1" applyProtection="1">
      <protection hidden="1"/>
    </xf>
    <xf numFmtId="0" fontId="41" fillId="0" borderId="0" xfId="0" applyFont="1" applyProtection="1">
      <protection hidden="1"/>
    </xf>
    <xf numFmtId="171" fontId="43" fillId="0" borderId="0" xfId="0" applyNumberFormat="1" applyFont="1" applyAlignment="1" applyProtection="1">
      <alignment vertical="center"/>
      <protection hidden="1"/>
    </xf>
    <xf numFmtId="186" fontId="11" fillId="8" borderId="79" xfId="0" applyNumberFormat="1" applyFont="1" applyFill="1" applyBorder="1" applyAlignment="1" applyProtection="1">
      <alignment horizontal="center" vertical="center"/>
      <protection locked="0" hidden="1"/>
    </xf>
    <xf numFmtId="17" fontId="7" fillId="0" borderId="1" xfId="0" applyNumberFormat="1" applyFont="1" applyBorder="1" applyAlignment="1" applyProtection="1">
      <alignment vertical="center"/>
      <protection hidden="1"/>
    </xf>
    <xf numFmtId="0" fontId="7" fillId="0" borderId="1" xfId="0" applyFont="1" applyBorder="1" applyAlignment="1" applyProtection="1">
      <alignment vertical="center"/>
      <protection hidden="1"/>
    </xf>
    <xf numFmtId="190" fontId="0" fillId="8" borderId="8" xfId="0" applyNumberFormat="1" applyFill="1" applyBorder="1" applyAlignment="1" applyProtection="1">
      <alignment horizontal="center"/>
      <protection locked="0" hidden="1"/>
    </xf>
    <xf numFmtId="0" fontId="11" fillId="0" borderId="0" xfId="0" applyFont="1" applyAlignment="1" applyProtection="1">
      <alignment horizontal="left" vertical="center"/>
      <protection hidden="1"/>
    </xf>
    <xf numFmtId="17" fontId="7" fillId="0" borderId="3" xfId="0" applyNumberFormat="1" applyFont="1" applyBorder="1" applyAlignment="1" applyProtection="1">
      <alignment vertical="center"/>
      <protection hidden="1"/>
    </xf>
    <xf numFmtId="0" fontId="7" fillId="0" borderId="3" xfId="0" applyFont="1" applyBorder="1" applyAlignment="1" applyProtection="1">
      <alignment vertical="center"/>
      <protection hidden="1"/>
    </xf>
    <xf numFmtId="0" fontId="4" fillId="2" borderId="20" xfId="0" applyFont="1" applyFill="1" applyBorder="1" applyAlignment="1" applyProtection="1">
      <alignment vertical="center"/>
      <protection hidden="1"/>
    </xf>
    <xf numFmtId="0" fontId="1" fillId="0" borderId="80" xfId="0" applyFont="1" applyBorder="1" applyAlignment="1" applyProtection="1">
      <alignment horizontal="center" vertical="center"/>
      <protection hidden="1"/>
    </xf>
    <xf numFmtId="186" fontId="29" fillId="0" borderId="21" xfId="0" applyNumberFormat="1" applyFont="1" applyBorder="1" applyAlignment="1" applyProtection="1">
      <alignment horizontal="center"/>
      <protection hidden="1"/>
    </xf>
    <xf numFmtId="186" fontId="29" fillId="0" borderId="81" xfId="0" applyNumberFormat="1" applyFont="1" applyBorder="1" applyAlignment="1" applyProtection="1">
      <alignment horizontal="center"/>
      <protection hidden="1"/>
    </xf>
    <xf numFmtId="186" fontId="29" fillId="0" borderId="82" xfId="0" applyNumberFormat="1" applyFont="1" applyBorder="1" applyAlignment="1" applyProtection="1">
      <alignment horizontal="center"/>
      <protection hidden="1"/>
    </xf>
    <xf numFmtId="0" fontId="14" fillId="7" borderId="12" xfId="0" applyFont="1" applyFill="1" applyBorder="1" applyAlignment="1" applyProtection="1">
      <alignment vertical="center"/>
      <protection hidden="1"/>
    </xf>
    <xf numFmtId="1" fontId="29" fillId="7" borderId="24" xfId="0" applyNumberFormat="1" applyFont="1" applyFill="1" applyBorder="1" applyAlignment="1" applyProtection="1">
      <alignment horizontal="center"/>
      <protection hidden="1"/>
    </xf>
    <xf numFmtId="1" fontId="29" fillId="7" borderId="83" xfId="0" applyNumberFormat="1" applyFont="1" applyFill="1" applyBorder="1" applyAlignment="1" applyProtection="1">
      <alignment horizontal="center"/>
      <protection hidden="1"/>
    </xf>
    <xf numFmtId="0" fontId="4" fillId="9" borderId="84" xfId="0" quotePrefix="1" applyFont="1" applyFill="1" applyBorder="1" applyAlignment="1" applyProtection="1">
      <alignment vertical="center"/>
      <protection hidden="1"/>
    </xf>
    <xf numFmtId="0" fontId="4" fillId="9" borderId="10" xfId="0" quotePrefix="1" applyFont="1" applyFill="1" applyBorder="1" applyAlignment="1" applyProtection="1">
      <alignment vertical="center"/>
      <protection hidden="1"/>
    </xf>
    <xf numFmtId="0" fontId="4" fillId="9" borderId="85" xfId="0" quotePrefix="1" applyFont="1" applyFill="1" applyBorder="1" applyAlignment="1" applyProtection="1">
      <alignment vertical="center"/>
      <protection hidden="1"/>
    </xf>
    <xf numFmtId="0" fontId="4" fillId="9" borderId="26" xfId="0" applyFont="1" applyFill="1" applyBorder="1" applyAlignment="1" applyProtection="1">
      <alignment vertical="center"/>
      <protection hidden="1"/>
    </xf>
    <xf numFmtId="0" fontId="4" fillId="9" borderId="84" xfId="0" applyFont="1" applyFill="1" applyBorder="1" applyAlignment="1" applyProtection="1">
      <alignment vertical="center"/>
      <protection hidden="1"/>
    </xf>
    <xf numFmtId="0" fontId="4" fillId="9" borderId="10" xfId="0" applyFont="1" applyFill="1" applyBorder="1" applyAlignment="1" applyProtection="1">
      <alignment vertical="center"/>
      <protection hidden="1"/>
    </xf>
    <xf numFmtId="0" fontId="4" fillId="9" borderId="85" xfId="0" applyFont="1" applyFill="1" applyBorder="1" applyAlignment="1" applyProtection="1">
      <alignment vertical="center"/>
      <protection hidden="1"/>
    </xf>
    <xf numFmtId="1" fontId="12" fillId="0" borderId="0" xfId="0" applyNumberFormat="1" applyFont="1" applyProtection="1">
      <protection hidden="1"/>
    </xf>
    <xf numFmtId="2" fontId="4" fillId="0" borderId="0" xfId="0" applyNumberFormat="1" applyFont="1" applyAlignment="1" applyProtection="1">
      <alignment vertical="center"/>
      <protection hidden="1"/>
    </xf>
    <xf numFmtId="2" fontId="13" fillId="7" borderId="9" xfId="0" applyNumberFormat="1" applyFont="1" applyFill="1" applyBorder="1" applyAlignment="1" applyProtection="1">
      <alignment vertical="center"/>
      <protection hidden="1"/>
    </xf>
    <xf numFmtId="2" fontId="3" fillId="9" borderId="26" xfId="0" applyNumberFormat="1" applyFont="1" applyFill="1" applyBorder="1" applyAlignment="1" applyProtection="1">
      <alignment vertical="center"/>
      <protection hidden="1"/>
    </xf>
    <xf numFmtId="2" fontId="3" fillId="9" borderId="10" xfId="0" applyNumberFormat="1" applyFont="1" applyFill="1" applyBorder="1" applyAlignment="1" applyProtection="1">
      <alignment vertical="center"/>
      <protection hidden="1"/>
    </xf>
    <xf numFmtId="0" fontId="4" fillId="0" borderId="86" xfId="0" applyFont="1" applyBorder="1" applyAlignment="1" applyProtection="1">
      <alignment vertical="center"/>
      <protection hidden="1"/>
    </xf>
    <xf numFmtId="0" fontId="0" fillId="0" borderId="55" xfId="0" applyBorder="1" applyProtection="1">
      <protection hidden="1"/>
    </xf>
    <xf numFmtId="0" fontId="4" fillId="0" borderId="90" xfId="0" applyFont="1" applyBorder="1" applyAlignment="1" applyProtection="1">
      <alignment vertical="center"/>
      <protection hidden="1"/>
    </xf>
    <xf numFmtId="0" fontId="0" fillId="0" borderId="53" xfId="0" applyBorder="1" applyProtection="1">
      <protection hidden="1"/>
    </xf>
    <xf numFmtId="0" fontId="4" fillId="0" borderId="92" xfId="0" applyFont="1" applyBorder="1" applyAlignment="1" applyProtection="1">
      <alignment vertical="center"/>
      <protection hidden="1"/>
    </xf>
    <xf numFmtId="0" fontId="4" fillId="7" borderId="9" xfId="0" applyFont="1" applyFill="1" applyBorder="1" applyAlignment="1" applyProtection="1">
      <alignment vertical="center"/>
      <protection hidden="1"/>
    </xf>
    <xf numFmtId="164" fontId="3" fillId="9" borderId="93" xfId="0" applyNumberFormat="1" applyFont="1" applyFill="1" applyBorder="1" applyAlignment="1" applyProtection="1">
      <alignment vertical="center"/>
      <protection hidden="1"/>
    </xf>
    <xf numFmtId="0" fontId="3" fillId="9" borderId="72" xfId="0" applyFont="1" applyFill="1" applyBorder="1" applyAlignment="1" applyProtection="1">
      <alignment horizontal="right" vertical="top"/>
      <protection hidden="1"/>
    </xf>
    <xf numFmtId="0" fontId="3" fillId="9" borderId="94" xfId="0" applyFont="1" applyFill="1" applyBorder="1" applyAlignment="1" applyProtection="1">
      <alignment horizontal="right" vertical="top"/>
      <protection hidden="1"/>
    </xf>
    <xf numFmtId="0" fontId="3" fillId="9" borderId="95" xfId="0" applyFont="1" applyFill="1" applyBorder="1" applyAlignment="1" applyProtection="1">
      <alignment horizontal="right" vertical="top"/>
      <protection hidden="1"/>
    </xf>
    <xf numFmtId="176" fontId="4" fillId="0" borderId="0" xfId="0" applyNumberFormat="1" applyFont="1" applyAlignment="1" applyProtection="1">
      <alignment vertical="center"/>
      <protection hidden="1"/>
    </xf>
    <xf numFmtId="0" fontId="4" fillId="0" borderId="32" xfId="0" applyFont="1" applyBorder="1" applyAlignment="1" applyProtection="1">
      <alignment horizontal="left" vertical="center"/>
      <protection hidden="1"/>
    </xf>
    <xf numFmtId="176" fontId="4" fillId="0" borderId="46" xfId="0" applyNumberFormat="1" applyFont="1" applyBorder="1" applyAlignment="1" applyProtection="1">
      <alignment vertical="center"/>
      <protection hidden="1"/>
    </xf>
    <xf numFmtId="164" fontId="5" fillId="7" borderId="0" xfId="0" applyNumberFormat="1" applyFont="1" applyFill="1" applyAlignment="1" applyProtection="1">
      <alignment vertical="center"/>
      <protection hidden="1"/>
    </xf>
    <xf numFmtId="0" fontId="4" fillId="0" borderId="5" xfId="0" applyFont="1" applyBorder="1" applyAlignment="1" applyProtection="1">
      <alignment vertical="center"/>
      <protection hidden="1"/>
    </xf>
    <xf numFmtId="176" fontId="4" fillId="0" borderId="60" xfId="0" applyNumberFormat="1" applyFont="1" applyBorder="1" applyAlignment="1" applyProtection="1">
      <alignment vertical="center"/>
      <protection hidden="1"/>
    </xf>
    <xf numFmtId="171" fontId="3" fillId="0" borderId="94" xfId="0" applyNumberFormat="1" applyFont="1" applyBorder="1" applyAlignment="1" applyProtection="1">
      <alignment vertical="center"/>
      <protection hidden="1"/>
    </xf>
    <xf numFmtId="0" fontId="0" fillId="0" borderId="3" xfId="0" applyBorder="1" applyAlignment="1" applyProtection="1">
      <alignment horizontal="right" vertical="center"/>
      <protection hidden="1"/>
    </xf>
    <xf numFmtId="0" fontId="42" fillId="0" borderId="0" xfId="0" applyFont="1" applyAlignment="1" applyProtection="1">
      <alignment vertical="center"/>
      <protection hidden="1"/>
    </xf>
    <xf numFmtId="171" fontId="3" fillId="7" borderId="99" xfId="0" applyNumberFormat="1" applyFont="1" applyFill="1" applyBorder="1" applyAlignment="1" applyProtection="1">
      <alignment horizontal="right" vertical="center"/>
      <protection hidden="1"/>
    </xf>
    <xf numFmtId="171" fontId="3" fillId="0" borderId="30" xfId="0" applyNumberFormat="1" applyFont="1" applyBorder="1" applyAlignment="1" applyProtection="1">
      <alignment horizontal="right" vertical="center"/>
      <protection hidden="1"/>
    </xf>
    <xf numFmtId="171" fontId="3" fillId="0" borderId="35" xfId="0" applyNumberFormat="1" applyFont="1" applyBorder="1" applyAlignment="1" applyProtection="1">
      <alignment horizontal="right" vertical="center"/>
      <protection hidden="1"/>
    </xf>
    <xf numFmtId="171" fontId="3" fillId="0" borderId="22" xfId="0" applyNumberFormat="1" applyFont="1" applyBorder="1" applyAlignment="1" applyProtection="1">
      <alignment horizontal="right" vertical="center"/>
      <protection hidden="1"/>
    </xf>
    <xf numFmtId="0" fontId="5" fillId="0" borderId="0" xfId="0" applyFont="1" applyAlignment="1" applyProtection="1">
      <alignment horizontal="right" vertical="center"/>
      <protection hidden="1"/>
    </xf>
    <xf numFmtId="167" fontId="1" fillId="7" borderId="26" xfId="0" applyNumberFormat="1" applyFont="1" applyFill="1" applyBorder="1" applyAlignment="1" applyProtection="1">
      <alignment horizontal="right" vertical="center"/>
      <protection hidden="1"/>
    </xf>
    <xf numFmtId="2" fontId="3" fillId="7" borderId="26" xfId="0" applyNumberFormat="1" applyFont="1" applyFill="1" applyBorder="1" applyAlignment="1" applyProtection="1">
      <alignment horizontal="right" vertical="center"/>
      <protection hidden="1"/>
    </xf>
    <xf numFmtId="0" fontId="3" fillId="7" borderId="9" xfId="0" applyFont="1" applyFill="1" applyBorder="1" applyAlignment="1" applyProtection="1">
      <alignment horizontal="right" vertical="center"/>
      <protection hidden="1"/>
    </xf>
    <xf numFmtId="0" fontId="3" fillId="0" borderId="55" xfId="0" applyFont="1" applyBorder="1" applyAlignment="1" applyProtection="1">
      <alignment horizontal="left" vertical="center"/>
      <protection hidden="1"/>
    </xf>
    <xf numFmtId="0" fontId="47" fillId="3" borderId="0" xfId="0" applyFont="1" applyFill="1" applyProtection="1">
      <protection hidden="1"/>
    </xf>
    <xf numFmtId="164" fontId="3" fillId="8" borderId="51" xfId="0" applyNumberFormat="1" applyFont="1" applyFill="1" applyBorder="1" applyAlignment="1" applyProtection="1">
      <alignment vertical="center"/>
      <protection locked="0" hidden="1"/>
    </xf>
    <xf numFmtId="0" fontId="0" fillId="0" borderId="71" xfId="0" quotePrefix="1" applyBorder="1" applyAlignment="1" applyProtection="1">
      <alignment vertical="center"/>
      <protection hidden="1"/>
    </xf>
    <xf numFmtId="0" fontId="0" fillId="0" borderId="99" xfId="0" applyBorder="1" applyAlignment="1" applyProtection="1">
      <alignment vertical="center"/>
      <protection hidden="1"/>
    </xf>
    <xf numFmtId="0" fontId="0" fillId="0" borderId="100" xfId="0" applyBorder="1" applyAlignment="1" applyProtection="1">
      <alignment vertical="center"/>
      <protection hidden="1"/>
    </xf>
    <xf numFmtId="0" fontId="0" fillId="0" borderId="71" xfId="0" applyBorder="1" applyAlignment="1" applyProtection="1">
      <alignment vertical="center"/>
      <protection hidden="1"/>
    </xf>
    <xf numFmtId="0" fontId="0" fillId="0" borderId="99" xfId="0" applyBorder="1" applyProtection="1">
      <protection hidden="1"/>
    </xf>
    <xf numFmtId="0" fontId="16" fillId="0" borderId="99" xfId="0" applyFont="1" applyBorder="1" applyProtection="1">
      <protection hidden="1"/>
    </xf>
    <xf numFmtId="0" fontId="0" fillId="0" borderId="100" xfId="0" applyBorder="1" applyAlignment="1" applyProtection="1">
      <alignment horizontal="centerContinuous"/>
      <protection hidden="1"/>
    </xf>
    <xf numFmtId="0" fontId="1" fillId="7" borderId="101" xfId="0" applyFont="1" applyFill="1" applyBorder="1" applyAlignment="1" applyProtection="1">
      <alignment horizontal="center" vertical="center"/>
      <protection hidden="1"/>
    </xf>
    <xf numFmtId="164" fontId="4" fillId="8" borderId="102" xfId="0" applyNumberFormat="1" applyFont="1" applyFill="1" applyBorder="1" applyAlignment="1" applyProtection="1">
      <alignment vertical="top" wrapText="1"/>
      <protection locked="0"/>
    </xf>
    <xf numFmtId="164" fontId="4" fillId="8" borderId="103" xfId="0" applyNumberFormat="1" applyFont="1" applyFill="1" applyBorder="1" applyAlignment="1" applyProtection="1">
      <alignment vertical="top" wrapText="1"/>
      <protection locked="0"/>
    </xf>
    <xf numFmtId="164" fontId="4" fillId="8" borderId="104" xfId="0" applyNumberFormat="1" applyFont="1" applyFill="1" applyBorder="1" applyAlignment="1" applyProtection="1">
      <alignment vertical="top" wrapText="1"/>
      <protection locked="0"/>
    </xf>
    <xf numFmtId="0" fontId="3" fillId="12" borderId="47" xfId="0" applyFont="1" applyFill="1" applyBorder="1" applyAlignment="1" applyProtection="1">
      <alignment vertical="center"/>
      <protection hidden="1"/>
    </xf>
    <xf numFmtId="1" fontId="4" fillId="8" borderId="105" xfId="0" applyNumberFormat="1" applyFont="1" applyFill="1" applyBorder="1" applyAlignment="1" applyProtection="1">
      <alignment vertical="top" wrapText="1"/>
      <protection locked="0"/>
    </xf>
    <xf numFmtId="1" fontId="4" fillId="8" borderId="35" xfId="0" applyNumberFormat="1" applyFont="1" applyFill="1" applyBorder="1" applyAlignment="1" applyProtection="1">
      <alignment vertical="top" wrapText="1"/>
      <protection locked="0"/>
    </xf>
    <xf numFmtId="1" fontId="4" fillId="8" borderId="42" xfId="0" applyNumberFormat="1" applyFont="1" applyFill="1" applyBorder="1" applyAlignment="1" applyProtection="1">
      <alignment vertical="top" wrapText="1"/>
      <protection locked="0"/>
    </xf>
    <xf numFmtId="1" fontId="3" fillId="12" borderId="31" xfId="0" applyNumberFormat="1" applyFont="1" applyFill="1" applyBorder="1" applyAlignment="1" applyProtection="1">
      <alignment vertical="center"/>
      <protection hidden="1"/>
    </xf>
    <xf numFmtId="1" fontId="3" fillId="12" borderId="107" xfId="0" applyNumberFormat="1" applyFont="1" applyFill="1" applyBorder="1" applyAlignment="1" applyProtection="1">
      <alignment vertical="center"/>
      <protection hidden="1"/>
    </xf>
    <xf numFmtId="0" fontId="3" fillId="12" borderId="56" xfId="0" applyFont="1" applyFill="1" applyBorder="1" applyAlignment="1" applyProtection="1">
      <alignment horizontal="left" vertical="center"/>
      <protection hidden="1"/>
    </xf>
    <xf numFmtId="0" fontId="3" fillId="13" borderId="47" xfId="0" applyFont="1" applyFill="1" applyBorder="1" applyAlignment="1" applyProtection="1">
      <alignment vertical="center"/>
      <protection hidden="1"/>
    </xf>
    <xf numFmtId="0" fontId="3" fillId="13" borderId="56" xfId="0" applyFont="1" applyFill="1" applyBorder="1" applyAlignment="1" applyProtection="1">
      <alignment horizontal="left" vertical="center"/>
      <protection hidden="1"/>
    </xf>
    <xf numFmtId="1" fontId="3" fillId="13" borderId="31" xfId="0" applyNumberFormat="1" applyFont="1" applyFill="1" applyBorder="1" applyAlignment="1" applyProtection="1">
      <alignment vertical="center"/>
      <protection hidden="1"/>
    </xf>
    <xf numFmtId="1" fontId="3" fillId="13" borderId="43" xfId="0" applyNumberFormat="1" applyFont="1" applyFill="1" applyBorder="1" applyAlignment="1" applyProtection="1">
      <alignment vertical="center"/>
      <protection hidden="1"/>
    </xf>
    <xf numFmtId="0" fontId="3" fillId="12" borderId="44" xfId="0" applyFont="1" applyFill="1" applyBorder="1" applyAlignment="1" applyProtection="1">
      <alignment horizontal="left" vertical="center"/>
      <protection hidden="1"/>
    </xf>
    <xf numFmtId="0" fontId="3" fillId="12" borderId="45" xfId="0" applyFont="1" applyFill="1" applyBorder="1" applyAlignment="1" applyProtection="1">
      <alignment vertical="center"/>
      <protection hidden="1"/>
    </xf>
    <xf numFmtId="1" fontId="3" fillId="12" borderId="36" xfId="0" applyNumberFormat="1" applyFont="1" applyFill="1" applyBorder="1" applyAlignment="1" applyProtection="1">
      <alignment vertical="center"/>
      <protection hidden="1"/>
    </xf>
    <xf numFmtId="0" fontId="51" fillId="0" borderId="0" xfId="0" applyFont="1" applyProtection="1">
      <protection hidden="1"/>
    </xf>
    <xf numFmtId="0" fontId="43" fillId="0" borderId="0" xfId="0" applyFont="1" applyAlignment="1" applyProtection="1">
      <alignment vertical="center"/>
      <protection hidden="1"/>
    </xf>
    <xf numFmtId="1" fontId="49" fillId="0" borderId="0" xfId="0" applyNumberFormat="1" applyFont="1" applyAlignment="1" applyProtection="1">
      <alignment horizontal="center"/>
      <protection hidden="1"/>
    </xf>
    <xf numFmtId="186" fontId="49" fillId="0" borderId="0" xfId="0" applyNumberFormat="1" applyFont="1" applyAlignment="1" applyProtection="1">
      <alignment horizontal="center"/>
      <protection hidden="1"/>
    </xf>
    <xf numFmtId="186" fontId="43" fillId="0" borderId="0" xfId="0" applyNumberFormat="1" applyFont="1" applyAlignment="1" applyProtection="1">
      <alignment horizontal="center"/>
      <protection hidden="1"/>
    </xf>
    <xf numFmtId="0" fontId="23" fillId="3" borderId="0" xfId="2" applyFill="1" applyAlignment="1" applyProtection="1">
      <protection hidden="1"/>
    </xf>
    <xf numFmtId="0" fontId="1" fillId="7" borderId="74" xfId="0" applyFont="1" applyFill="1" applyBorder="1"/>
    <xf numFmtId="0" fontId="1" fillId="7" borderId="75" xfId="0" applyFont="1" applyFill="1" applyBorder="1" applyAlignment="1">
      <alignment horizontal="center" vertical="center"/>
    </xf>
    <xf numFmtId="0" fontId="0" fillId="7" borderId="75" xfId="0" applyFill="1" applyBorder="1"/>
    <xf numFmtId="0" fontId="0" fillId="7" borderId="76" xfId="0" applyFill="1" applyBorder="1"/>
    <xf numFmtId="0" fontId="0" fillId="7" borderId="28" xfId="0" applyFill="1" applyBorder="1"/>
    <xf numFmtId="0" fontId="1" fillId="7" borderId="0" xfId="0" applyFont="1" applyFill="1" applyAlignment="1">
      <alignment horizontal="centerContinuous" vertical="center"/>
    </xf>
    <xf numFmtId="0" fontId="0" fillId="7" borderId="0" xfId="0" applyFill="1"/>
    <xf numFmtId="177" fontId="1" fillId="7" borderId="0" xfId="0" applyNumberFormat="1" applyFont="1" applyFill="1"/>
    <xf numFmtId="0" fontId="0" fillId="7" borderId="9" xfId="0" applyFill="1" applyBorder="1"/>
    <xf numFmtId="0" fontId="1" fillId="7" borderId="28" xfId="0" applyFont="1" applyFill="1" applyBorder="1"/>
    <xf numFmtId="0" fontId="1" fillId="14" borderId="74" xfId="0" applyFont="1" applyFill="1" applyBorder="1" applyProtection="1">
      <protection locked="0"/>
    </xf>
    <xf numFmtId="14" fontId="3" fillId="14" borderId="75" xfId="0" applyNumberFormat="1" applyFont="1" applyFill="1" applyBorder="1"/>
    <xf numFmtId="14" fontId="3" fillId="14" borderId="76" xfId="0" applyNumberFormat="1" applyFont="1" applyFill="1" applyBorder="1"/>
    <xf numFmtId="177" fontId="0" fillId="7" borderId="0" xfId="0" applyNumberFormat="1" applyFill="1"/>
    <xf numFmtId="2" fontId="3" fillId="7" borderId="0" xfId="0" applyNumberFormat="1" applyFont="1" applyFill="1" applyAlignment="1">
      <alignment vertical="center"/>
    </xf>
    <xf numFmtId="0" fontId="0" fillId="14" borderId="28" xfId="0" applyFill="1" applyBorder="1" applyAlignment="1" applyProtection="1">
      <alignment horizontal="left"/>
      <protection locked="0"/>
    </xf>
    <xf numFmtId="14" fontId="3" fillId="14" borderId="0" xfId="0" applyNumberFormat="1" applyFont="1" applyFill="1"/>
    <xf numFmtId="14" fontId="3" fillId="14" borderId="9" xfId="0" applyNumberFormat="1" applyFont="1" applyFill="1" applyBorder="1"/>
    <xf numFmtId="164" fontId="0" fillId="7" borderId="0" xfId="0" applyNumberFormat="1" applyFill="1" applyAlignment="1">
      <alignment horizontal="right"/>
    </xf>
    <xf numFmtId="0" fontId="3" fillId="14" borderId="28" xfId="0" applyFont="1" applyFill="1" applyBorder="1" applyProtection="1">
      <protection locked="0"/>
    </xf>
    <xf numFmtId="164" fontId="0" fillId="7" borderId="0" xfId="0" applyNumberFormat="1" applyFill="1"/>
    <xf numFmtId="0" fontId="3" fillId="14" borderId="77" xfId="0" applyFont="1" applyFill="1" applyBorder="1" applyProtection="1">
      <protection locked="0"/>
    </xf>
    <xf numFmtId="14" fontId="3" fillId="14" borderId="11" xfId="0" applyNumberFormat="1" applyFont="1" applyFill="1" applyBorder="1"/>
    <xf numFmtId="0" fontId="3" fillId="7" borderId="0" xfId="0" applyFont="1" applyFill="1"/>
    <xf numFmtId="14" fontId="3" fillId="7" borderId="0" xfId="0" applyNumberFormat="1" applyFont="1" applyFill="1"/>
    <xf numFmtId="14" fontId="3" fillId="14" borderId="13" xfId="0" applyNumberFormat="1" applyFont="1" applyFill="1" applyBorder="1" applyAlignment="1" applyProtection="1">
      <alignment horizontal="center"/>
      <protection locked="0"/>
    </xf>
    <xf numFmtId="14" fontId="0" fillId="7" borderId="0" xfId="0" applyNumberFormat="1" applyFill="1"/>
    <xf numFmtId="49" fontId="0" fillId="7" borderId="9" xfId="0" applyNumberFormat="1" applyFill="1" applyBorder="1" applyAlignment="1">
      <alignment horizontal="center"/>
    </xf>
    <xf numFmtId="0" fontId="0" fillId="7" borderId="9" xfId="0" applyFill="1" applyBorder="1" applyAlignment="1">
      <alignment horizontal="center"/>
    </xf>
    <xf numFmtId="0" fontId="0" fillId="7" borderId="0" xfId="0" applyFill="1" applyAlignment="1">
      <alignment horizontal="center"/>
    </xf>
    <xf numFmtId="0" fontId="0" fillId="7" borderId="77" xfId="0" applyFill="1" applyBorder="1"/>
    <xf numFmtId="0" fontId="0" fillId="7" borderId="11" xfId="0" applyFill="1" applyBorder="1"/>
    <xf numFmtId="177" fontId="0" fillId="7" borderId="11" xfId="0" applyNumberFormat="1" applyFill="1" applyBorder="1"/>
    <xf numFmtId="0" fontId="0" fillId="7" borderId="11" xfId="0" applyFill="1" applyBorder="1" applyAlignment="1">
      <alignment horizontal="center"/>
    </xf>
    <xf numFmtId="0" fontId="0" fillId="7" borderId="12" xfId="0" applyFill="1" applyBorder="1"/>
    <xf numFmtId="14" fontId="52" fillId="0" borderId="0" xfId="0" applyNumberFormat="1" applyFont="1" applyAlignment="1">
      <alignment vertical="center"/>
    </xf>
    <xf numFmtId="0" fontId="0" fillId="0" borderId="0" xfId="0" applyAlignment="1">
      <alignment vertical="center"/>
    </xf>
    <xf numFmtId="0" fontId="3" fillId="7" borderId="74" xfId="0" applyFont="1" applyFill="1" applyBorder="1"/>
    <xf numFmtId="0" fontId="7" fillId="7" borderId="75" xfId="0" applyFont="1" applyFill="1" applyBorder="1"/>
    <xf numFmtId="0" fontId="0" fillId="0" borderId="0" xfId="0" applyAlignment="1">
      <alignment horizontal="left"/>
    </xf>
    <xf numFmtId="0" fontId="0" fillId="0" borderId="0" xfId="0" applyAlignment="1">
      <alignment horizontal="centerContinuous" vertical="center"/>
    </xf>
    <xf numFmtId="0" fontId="0" fillId="0" borderId="0" xfId="0" applyAlignment="1">
      <alignment horizontal="center"/>
    </xf>
    <xf numFmtId="0" fontId="3" fillId="7" borderId="28" xfId="0" applyFont="1" applyFill="1" applyBorder="1"/>
    <xf numFmtId="0" fontId="7" fillId="7" borderId="0" xfId="0" applyFont="1" applyFill="1"/>
    <xf numFmtId="176" fontId="3" fillId="7" borderId="10" xfId="0" applyNumberFormat="1" applyFont="1" applyFill="1" applyBorder="1"/>
    <xf numFmtId="20" fontId="0" fillId="7" borderId="10" xfId="0" applyNumberFormat="1" applyFill="1" applyBorder="1" applyAlignment="1">
      <alignment horizontal="center" vertical="center" wrapText="1"/>
    </xf>
    <xf numFmtId="2" fontId="0" fillId="0" borderId="0" xfId="0" applyNumberFormat="1" applyAlignment="1">
      <alignment wrapText="1"/>
    </xf>
    <xf numFmtId="0" fontId="0" fillId="0" borderId="0" xfId="0" applyAlignment="1">
      <alignment horizontal="right"/>
    </xf>
    <xf numFmtId="20" fontId="0" fillId="7" borderId="13" xfId="0" applyNumberFormat="1" applyFill="1" applyBorder="1" applyAlignment="1">
      <alignment horizontal="center" vertical="center"/>
    </xf>
    <xf numFmtId="49" fontId="0" fillId="0" borderId="0" xfId="0" applyNumberFormat="1"/>
    <xf numFmtId="0" fontId="3" fillId="7" borderId="77" xfId="0" applyFont="1" applyFill="1" applyBorder="1"/>
    <xf numFmtId="0" fontId="7" fillId="7" borderId="11" xfId="0" applyFont="1" applyFill="1" applyBorder="1"/>
    <xf numFmtId="176" fontId="3" fillId="7" borderId="13" xfId="0" applyNumberFormat="1" applyFont="1" applyFill="1" applyBorder="1"/>
    <xf numFmtId="0" fontId="0" fillId="0" borderId="0" xfId="0" applyAlignment="1">
      <alignment horizontal="centerContinuous"/>
    </xf>
    <xf numFmtId="0" fontId="0" fillId="0" borderId="0" xfId="0" applyAlignment="1">
      <alignment wrapText="1"/>
    </xf>
    <xf numFmtId="0" fontId="7" fillId="7" borderId="76" xfId="0" applyFont="1" applyFill="1" applyBorder="1"/>
    <xf numFmtId="176" fontId="3" fillId="0" borderId="0" xfId="0" applyNumberFormat="1" applyFont="1"/>
    <xf numFmtId="172" fontId="0" fillId="0" borderId="0" xfId="0" applyNumberFormat="1" applyAlignment="1">
      <alignment horizontal="right"/>
    </xf>
    <xf numFmtId="0" fontId="7" fillId="7" borderId="9" xfId="0" applyFont="1" applyFill="1" applyBorder="1"/>
    <xf numFmtId="49" fontId="3" fillId="14" borderId="10" xfId="0" applyNumberFormat="1" applyFont="1" applyFill="1" applyBorder="1" applyAlignment="1" applyProtection="1">
      <alignment horizontal="right"/>
      <protection locked="0"/>
    </xf>
    <xf numFmtId="0" fontId="0" fillId="0" borderId="11" xfId="0" applyBorder="1" applyAlignment="1">
      <alignment vertical="top"/>
    </xf>
    <xf numFmtId="0" fontId="0" fillId="0" borderId="0" xfId="0" applyAlignment="1">
      <alignment vertical="top"/>
    </xf>
    <xf numFmtId="49" fontId="3" fillId="7" borderId="10" xfId="0" applyNumberFormat="1" applyFont="1" applyFill="1" applyBorder="1" applyAlignment="1">
      <alignment horizontal="right"/>
    </xf>
    <xf numFmtId="49" fontId="3" fillId="14" borderId="13" xfId="0" applyNumberFormat="1" applyFont="1" applyFill="1" applyBorder="1" applyAlignment="1" applyProtection="1">
      <alignment horizontal="right"/>
      <protection locked="0"/>
    </xf>
    <xf numFmtId="0" fontId="0" fillId="0" borderId="76" xfId="0" applyBorder="1" applyAlignment="1">
      <alignment vertical="center"/>
    </xf>
    <xf numFmtId="0" fontId="7" fillId="7" borderId="12" xfId="0" applyFont="1" applyFill="1" applyBorder="1"/>
    <xf numFmtId="0" fontId="0" fillId="0" borderId="9" xfId="0" applyBorder="1" applyAlignment="1">
      <alignment vertical="center"/>
    </xf>
    <xf numFmtId="0" fontId="0" fillId="0" borderId="75" xfId="0" applyBorder="1"/>
    <xf numFmtId="14" fontId="8" fillId="0" borderId="0" xfId="0" applyNumberFormat="1" applyFont="1" applyAlignment="1">
      <alignment vertical="center"/>
    </xf>
    <xf numFmtId="14" fontId="7" fillId="0" borderId="0" xfId="0" applyNumberFormat="1" applyFont="1"/>
    <xf numFmtId="0" fontId="1" fillId="0" borderId="0" xfId="0" applyFont="1"/>
    <xf numFmtId="165" fontId="0" fillId="0" borderId="0" xfId="0" applyNumberFormat="1"/>
    <xf numFmtId="14" fontId="3" fillId="0" borderId="0" xfId="0" quotePrefix="1" applyNumberFormat="1" applyFont="1"/>
    <xf numFmtId="14" fontId="1" fillId="0" borderId="0" xfId="0" applyNumberFormat="1" applyFont="1"/>
    <xf numFmtId="14" fontId="0" fillId="0" borderId="0" xfId="0" applyNumberFormat="1" applyAlignment="1">
      <alignment horizontal="right"/>
    </xf>
    <xf numFmtId="0" fontId="7" fillId="0" borderId="0" xfId="0" applyFont="1"/>
    <xf numFmtId="14" fontId="17" fillId="0" borderId="0" xfId="0" applyNumberFormat="1" applyFont="1" applyAlignment="1">
      <alignment vertical="center"/>
    </xf>
    <xf numFmtId="14" fontId="3" fillId="15" borderId="13" xfId="0" applyNumberFormat="1" applyFont="1" applyFill="1" applyBorder="1"/>
    <xf numFmtId="14" fontId="3" fillId="15" borderId="0" xfId="0" applyNumberFormat="1" applyFont="1" applyFill="1" applyProtection="1">
      <protection locked="0"/>
    </xf>
    <xf numFmtId="175" fontId="3" fillId="15" borderId="9" xfId="1" applyNumberFormat="1" applyFont="1" applyFill="1" applyBorder="1" applyProtection="1">
      <protection locked="0"/>
    </xf>
    <xf numFmtId="0" fontId="3" fillId="15" borderId="0" xfId="0" applyFont="1" applyFill="1" applyAlignment="1">
      <alignment horizontal="center"/>
    </xf>
    <xf numFmtId="176" fontId="3" fillId="15" borderId="0" xfId="0" applyNumberFormat="1" applyFont="1" applyFill="1"/>
    <xf numFmtId="175" fontId="3" fillId="15" borderId="0" xfId="0" applyNumberFormat="1" applyFont="1" applyFill="1"/>
    <xf numFmtId="176" fontId="2" fillId="15" borderId="9" xfId="0" applyNumberFormat="1" applyFont="1" applyFill="1" applyBorder="1"/>
    <xf numFmtId="176" fontId="3" fillId="15" borderId="10" xfId="0" applyNumberFormat="1" applyFont="1" applyFill="1" applyBorder="1"/>
    <xf numFmtId="14" fontId="3" fillId="15" borderId="28" xfId="0" applyNumberFormat="1" applyFont="1" applyFill="1" applyBorder="1" applyProtection="1">
      <protection locked="0"/>
    </xf>
    <xf numFmtId="14" fontId="3" fillId="15" borderId="77" xfId="0" applyNumberFormat="1" applyFont="1" applyFill="1" applyBorder="1" applyProtection="1">
      <protection locked="0"/>
    </xf>
    <xf numFmtId="14" fontId="3" fillId="15" borderId="11" xfId="0" applyNumberFormat="1" applyFont="1" applyFill="1" applyBorder="1" applyProtection="1">
      <protection locked="0"/>
    </xf>
    <xf numFmtId="175" fontId="3" fillId="15" borderId="12" xfId="1" applyNumberFormat="1" applyFont="1" applyFill="1" applyBorder="1" applyProtection="1">
      <protection locked="0"/>
    </xf>
    <xf numFmtId="0" fontId="3" fillId="15" borderId="11" xfId="0" applyFont="1" applyFill="1" applyBorder="1" applyAlignment="1">
      <alignment horizontal="center"/>
    </xf>
    <xf numFmtId="176" fontId="3" fillId="15" borderId="11" xfId="0" applyNumberFormat="1" applyFont="1" applyFill="1" applyBorder="1"/>
    <xf numFmtId="175" fontId="3" fillId="15" borderId="11" xfId="0" applyNumberFormat="1" applyFont="1" applyFill="1" applyBorder="1"/>
    <xf numFmtId="176" fontId="3" fillId="15" borderId="13" xfId="0" applyNumberFormat="1" applyFont="1" applyFill="1" applyBorder="1"/>
    <xf numFmtId="0" fontId="1" fillId="7" borderId="75" xfId="0" applyFont="1" applyFill="1" applyBorder="1" applyAlignment="1">
      <alignment horizontal="center"/>
    </xf>
    <xf numFmtId="14" fontId="3" fillId="7" borderId="76" xfId="0" applyNumberFormat="1" applyFont="1" applyFill="1" applyBorder="1"/>
    <xf numFmtId="0" fontId="0" fillId="7" borderId="10" xfId="0" applyFill="1" applyBorder="1"/>
    <xf numFmtId="14" fontId="3" fillId="7" borderId="9" xfId="0" applyNumberFormat="1" applyFont="1" applyFill="1" applyBorder="1"/>
    <xf numFmtId="0" fontId="1" fillId="7" borderId="10" xfId="0" applyFont="1" applyFill="1" applyBorder="1"/>
    <xf numFmtId="0" fontId="1" fillId="7" borderId="0" xfId="0" applyFont="1" applyFill="1"/>
    <xf numFmtId="0" fontId="3" fillId="7" borderId="0" xfId="0" applyFont="1" applyFill="1" applyAlignment="1">
      <alignment horizontal="left"/>
    </xf>
    <xf numFmtId="0" fontId="0" fillId="7" borderId="13" xfId="0" applyFill="1" applyBorder="1"/>
    <xf numFmtId="0" fontId="0" fillId="7" borderId="11" xfId="0" applyFill="1" applyBorder="1" applyAlignment="1">
      <alignment horizontal="left"/>
    </xf>
    <xf numFmtId="14" fontId="3" fillId="7" borderId="12" xfId="0" applyNumberFormat="1" applyFont="1" applyFill="1" applyBorder="1"/>
    <xf numFmtId="14" fontId="3" fillId="7" borderId="28" xfId="0" applyNumberFormat="1" applyFont="1" applyFill="1" applyBorder="1"/>
    <xf numFmtId="175" fontId="3" fillId="7" borderId="0" xfId="1" applyNumberFormat="1" applyFont="1" applyFill="1" applyBorder="1" applyProtection="1"/>
    <xf numFmtId="0" fontId="3" fillId="7" borderId="0" xfId="0" applyFont="1" applyFill="1" applyAlignment="1">
      <alignment horizontal="center"/>
    </xf>
    <xf numFmtId="176" fontId="3" fillId="7" borderId="0" xfId="0" applyNumberFormat="1" applyFont="1" applyFill="1"/>
    <xf numFmtId="175" fontId="3" fillId="7" borderId="0" xfId="0" applyNumberFormat="1" applyFont="1" applyFill="1"/>
    <xf numFmtId="176" fontId="2" fillId="7" borderId="9" xfId="0" applyNumberFormat="1" applyFont="1" applyFill="1" applyBorder="1"/>
    <xf numFmtId="14" fontId="3" fillId="7" borderId="77" xfId="0" applyNumberFormat="1" applyFont="1" applyFill="1" applyBorder="1"/>
    <xf numFmtId="14" fontId="3" fillId="7" borderId="11" xfId="0" applyNumberFormat="1" applyFont="1" applyFill="1" applyBorder="1"/>
    <xf numFmtId="175" fontId="3" fillId="7" borderId="11" xfId="1" applyNumberFormat="1" applyFont="1" applyFill="1" applyBorder="1" applyProtection="1"/>
    <xf numFmtId="0" fontId="3" fillId="7" borderId="11" xfId="0" applyFont="1" applyFill="1" applyBorder="1" applyAlignment="1">
      <alignment horizontal="center"/>
    </xf>
    <xf numFmtId="176" fontId="3" fillId="7" borderId="11" xfId="0" applyNumberFormat="1" applyFont="1" applyFill="1" applyBorder="1"/>
    <xf numFmtId="175" fontId="3" fillId="7" borderId="11" xfId="0" applyNumberFormat="1" applyFont="1" applyFill="1" applyBorder="1"/>
    <xf numFmtId="176" fontId="2" fillId="7" borderId="12" xfId="0" applyNumberFormat="1" applyFont="1" applyFill="1" applyBorder="1"/>
    <xf numFmtId="0" fontId="0" fillId="0" borderId="0" xfId="0" quotePrefix="1"/>
    <xf numFmtId="0" fontId="17" fillId="0" borderId="0" xfId="0" applyFont="1"/>
    <xf numFmtId="43" fontId="3" fillId="7" borderId="74" xfId="0" applyNumberFormat="1" applyFont="1" applyFill="1" applyBorder="1" applyAlignment="1">
      <alignment horizontal="centerContinuous"/>
    </xf>
    <xf numFmtId="43" fontId="3" fillId="7" borderId="76" xfId="0" applyNumberFormat="1" applyFont="1" applyFill="1" applyBorder="1" applyAlignment="1">
      <alignment horizontal="centerContinuous"/>
    </xf>
    <xf numFmtId="2" fontId="0" fillId="0" borderId="0" xfId="0" applyNumberFormat="1"/>
    <xf numFmtId="14" fontId="8" fillId="0" borderId="0" xfId="0" applyNumberFormat="1" applyFont="1"/>
    <xf numFmtId="0" fontId="0" fillId="0" borderId="74" xfId="0" applyBorder="1"/>
    <xf numFmtId="0" fontId="0" fillId="0" borderId="76" xfId="0" applyBorder="1"/>
    <xf numFmtId="0" fontId="0" fillId="0" borderId="28" xfId="0" applyBorder="1"/>
    <xf numFmtId="0" fontId="0" fillId="0" borderId="9" xfId="0" applyBorder="1"/>
    <xf numFmtId="164" fontId="0" fillId="0" borderId="28" xfId="0" applyNumberFormat="1" applyBorder="1"/>
    <xf numFmtId="164" fontId="0" fillId="0" borderId="77" xfId="0" applyNumberFormat="1" applyBorder="1"/>
    <xf numFmtId="0" fontId="0" fillId="0" borderId="11" xfId="0" applyBorder="1"/>
    <xf numFmtId="0" fontId="0" fillId="0" borderId="12" xfId="0" applyBorder="1"/>
    <xf numFmtId="164" fontId="0" fillId="0" borderId="0" xfId="0" applyNumberFormat="1"/>
    <xf numFmtId="0" fontId="0" fillId="9" borderId="74" xfId="0" applyFill="1" applyBorder="1"/>
    <xf numFmtId="0" fontId="0" fillId="9" borderId="75" xfId="0" applyFill="1" applyBorder="1"/>
    <xf numFmtId="0" fontId="0" fillId="9" borderId="76" xfId="0" applyFill="1" applyBorder="1"/>
    <xf numFmtId="0" fontId="0" fillId="9" borderId="28" xfId="0" applyFill="1" applyBorder="1"/>
    <xf numFmtId="0" fontId="0" fillId="9" borderId="0" xfId="0" applyFill="1"/>
    <xf numFmtId="0" fontId="0" fillId="9" borderId="9" xfId="0" applyFill="1" applyBorder="1"/>
    <xf numFmtId="176" fontId="0" fillId="9" borderId="28" xfId="0" applyNumberFormat="1" applyFill="1" applyBorder="1" applyAlignment="1">
      <alignment horizontal="right"/>
    </xf>
    <xf numFmtId="0" fontId="0" fillId="9" borderId="0" xfId="0" applyFill="1" applyAlignment="1">
      <alignment horizontal="center"/>
    </xf>
    <xf numFmtId="0" fontId="0" fillId="9" borderId="0" xfId="0" applyFill="1" applyAlignment="1">
      <alignment vertical="center"/>
    </xf>
    <xf numFmtId="0" fontId="0" fillId="9" borderId="0" xfId="0" applyFill="1" applyAlignment="1">
      <alignment vertical="center" wrapText="1"/>
    </xf>
    <xf numFmtId="0" fontId="0" fillId="9" borderId="77" xfId="0" applyFill="1" applyBorder="1"/>
    <xf numFmtId="0" fontId="0" fillId="9" borderId="11" xfId="0" applyFill="1" applyBorder="1"/>
    <xf numFmtId="0" fontId="0" fillId="9" borderId="12" xfId="0" applyFill="1" applyBorder="1"/>
    <xf numFmtId="0" fontId="1" fillId="7" borderId="4" xfId="0" applyFont="1" applyFill="1" applyBorder="1" applyAlignment="1">
      <alignment horizontal="center" vertical="center" wrapText="1"/>
    </xf>
    <xf numFmtId="17" fontId="1" fillId="3" borderId="2" xfId="0" applyNumberFormat="1" applyFont="1" applyFill="1" applyBorder="1" applyAlignment="1">
      <alignment vertical="center"/>
    </xf>
    <xf numFmtId="17" fontId="3" fillId="3" borderId="2" xfId="0" applyNumberFormat="1" applyFont="1" applyFill="1" applyBorder="1" applyAlignment="1">
      <alignment vertical="center"/>
    </xf>
    <xf numFmtId="0" fontId="3" fillId="3" borderId="2" xfId="0" applyFont="1" applyFill="1" applyBorder="1" applyAlignment="1">
      <alignment vertical="center"/>
    </xf>
    <xf numFmtId="0" fontId="3" fillId="3" borderId="2" xfId="0" applyFont="1" applyFill="1" applyBorder="1"/>
    <xf numFmtId="0" fontId="3" fillId="3" borderId="20" xfId="0" applyFont="1" applyFill="1" applyBorder="1" applyAlignment="1">
      <alignment vertical="center"/>
    </xf>
    <xf numFmtId="0" fontId="1" fillId="7" borderId="2" xfId="0" applyFont="1" applyFill="1" applyBorder="1" applyAlignment="1">
      <alignment horizontal="center" vertical="center"/>
    </xf>
    <xf numFmtId="0" fontId="7" fillId="3" borderId="2" xfId="0" applyFont="1" applyFill="1" applyBorder="1" applyAlignment="1">
      <alignment vertical="center"/>
    </xf>
    <xf numFmtId="0" fontId="4" fillId="0" borderId="0" xfId="0" applyFont="1" applyAlignment="1">
      <alignment vertical="center"/>
    </xf>
    <xf numFmtId="0" fontId="1" fillId="0" borderId="0" xfId="0" applyFont="1" applyAlignment="1">
      <alignment vertical="center"/>
    </xf>
    <xf numFmtId="0" fontId="0" fillId="0" borderId="75" xfId="0" applyBorder="1" applyAlignment="1">
      <alignment vertical="center"/>
    </xf>
    <xf numFmtId="0" fontId="1" fillId="7" borderId="4" xfId="0" applyFont="1" applyFill="1" applyBorder="1" applyAlignment="1">
      <alignment horizontal="center" vertical="center"/>
    </xf>
    <xf numFmtId="0" fontId="1" fillId="3" borderId="1" xfId="0" applyFont="1" applyFill="1" applyBorder="1" applyAlignment="1">
      <alignment horizontal="left" vertical="center"/>
    </xf>
    <xf numFmtId="0" fontId="3" fillId="3" borderId="1" xfId="0" applyFont="1" applyFill="1" applyBorder="1" applyAlignment="1">
      <alignment horizontal="left" vertical="center"/>
    </xf>
    <xf numFmtId="0" fontId="1" fillId="7" borderId="1" xfId="0" applyFont="1" applyFill="1" applyBorder="1" applyAlignment="1">
      <alignment horizontal="center" vertical="center"/>
    </xf>
    <xf numFmtId="0" fontId="7" fillId="3" borderId="1" xfId="0" applyFont="1" applyFill="1" applyBorder="1" applyAlignment="1">
      <alignment vertical="center"/>
    </xf>
    <xf numFmtId="0" fontId="3" fillId="3" borderId="1" xfId="0" applyFont="1" applyFill="1" applyBorder="1" applyAlignment="1">
      <alignment vertical="center"/>
    </xf>
    <xf numFmtId="0" fontId="3" fillId="3" borderId="114" xfId="0" applyFont="1" applyFill="1" applyBorder="1" applyAlignment="1">
      <alignment vertical="center"/>
    </xf>
    <xf numFmtId="2" fontId="1" fillId="7" borderId="1" xfId="0" applyNumberFormat="1" applyFont="1" applyFill="1" applyBorder="1" applyAlignment="1">
      <alignment horizontal="center" vertical="center"/>
    </xf>
    <xf numFmtId="0" fontId="1" fillId="7" borderId="1" xfId="0" applyFont="1" applyFill="1" applyBorder="1" applyAlignment="1">
      <alignment horizontal="left" vertical="center"/>
    </xf>
    <xf numFmtId="0" fontId="1" fillId="7" borderId="114" xfId="0" applyFont="1" applyFill="1" applyBorder="1" applyAlignment="1">
      <alignment horizontal="left" vertical="center"/>
    </xf>
    <xf numFmtId="0" fontId="0" fillId="0" borderId="1" xfId="0" applyBorder="1"/>
    <xf numFmtId="2" fontId="0" fillId="0" borderId="1" xfId="0" applyNumberFormat="1" applyBorder="1"/>
    <xf numFmtId="0" fontId="3" fillId="15" borderId="79" xfId="0" applyFont="1" applyFill="1" applyBorder="1" applyAlignment="1">
      <alignment horizontal="center" vertical="center" wrapText="1"/>
    </xf>
    <xf numFmtId="166" fontId="4" fillId="7" borderId="61" xfId="0" applyNumberFormat="1" applyFont="1" applyFill="1" applyBorder="1" applyAlignment="1">
      <alignment horizontal="center" textRotation="90"/>
    </xf>
    <xf numFmtId="166" fontId="4" fillId="7" borderId="114" xfId="0" applyNumberFormat="1" applyFont="1" applyFill="1" applyBorder="1" applyAlignment="1">
      <alignment horizontal="center" textRotation="90"/>
    </xf>
    <xf numFmtId="166" fontId="4" fillId="7" borderId="61" xfId="0" quotePrefix="1" applyNumberFormat="1" applyFont="1" applyFill="1" applyBorder="1" applyAlignment="1">
      <alignment horizontal="center" textRotation="90"/>
    </xf>
    <xf numFmtId="166" fontId="4" fillId="7" borderId="114" xfId="0" applyNumberFormat="1" applyFont="1" applyFill="1" applyBorder="1" applyAlignment="1">
      <alignment horizontal="center" textRotation="90" wrapText="1"/>
    </xf>
    <xf numFmtId="0" fontId="4" fillId="0" borderId="0" xfId="0" applyFont="1" applyAlignment="1">
      <alignment vertical="center" textRotation="90" wrapText="1"/>
    </xf>
    <xf numFmtId="0" fontId="4" fillId="0" borderId="0" xfId="0" applyFont="1" applyAlignment="1">
      <alignment textRotation="90" wrapText="1"/>
    </xf>
    <xf numFmtId="49" fontId="3" fillId="7" borderId="115" xfId="0" applyNumberFormat="1" applyFont="1" applyFill="1" applyBorder="1" applyAlignment="1">
      <alignment horizontal="center" vertical="center"/>
    </xf>
    <xf numFmtId="171" fontId="3" fillId="7" borderId="12" xfId="0" applyNumberFormat="1" applyFont="1" applyFill="1" applyBorder="1" applyAlignment="1">
      <alignment vertical="center"/>
    </xf>
    <xf numFmtId="171" fontId="3" fillId="0" borderId="12" xfId="0" applyNumberFormat="1" applyFont="1" applyBorder="1" applyAlignment="1">
      <alignment vertical="center"/>
    </xf>
    <xf numFmtId="171" fontId="3" fillId="0" borderId="27" xfId="0" applyNumberFormat="1" applyFont="1" applyBorder="1" applyAlignment="1">
      <alignment vertical="center"/>
    </xf>
    <xf numFmtId="171" fontId="3" fillId="7" borderId="27" xfId="0" applyNumberFormat="1" applyFont="1" applyFill="1" applyBorder="1" applyAlignment="1">
      <alignment vertical="center"/>
    </xf>
    <xf numFmtId="49" fontId="0" fillId="0" borderId="0" xfId="0" applyNumberFormat="1" applyAlignment="1">
      <alignment vertical="center"/>
    </xf>
    <xf numFmtId="0" fontId="0" fillId="7" borderId="116" xfId="0" applyFill="1" applyBorder="1" applyAlignment="1">
      <alignment horizontal="center" wrapText="1"/>
    </xf>
    <xf numFmtId="171" fontId="0" fillId="7" borderId="61" xfId="0" applyNumberFormat="1" applyFill="1" applyBorder="1" applyAlignment="1">
      <alignment vertical="center"/>
    </xf>
    <xf numFmtId="171" fontId="0" fillId="0" borderId="61" xfId="0" applyNumberFormat="1" applyBorder="1"/>
    <xf numFmtId="171" fontId="0" fillId="7" borderId="114" xfId="0" applyNumberFormat="1" applyFill="1" applyBorder="1" applyAlignment="1">
      <alignment vertical="center"/>
    </xf>
    <xf numFmtId="171" fontId="3" fillId="7" borderId="61" xfId="0" applyNumberFormat="1" applyFont="1" applyFill="1" applyBorder="1" applyAlignment="1">
      <alignment vertical="center"/>
    </xf>
    <xf numFmtId="171" fontId="3" fillId="7" borderId="114" xfId="0" applyNumberFormat="1" applyFont="1" applyFill="1" applyBorder="1" applyAlignment="1">
      <alignment vertical="center"/>
    </xf>
    <xf numFmtId="171" fontId="3" fillId="8" borderId="61" xfId="0" applyNumberFormat="1" applyFont="1" applyFill="1" applyBorder="1" applyAlignment="1">
      <alignment vertical="center"/>
    </xf>
    <xf numFmtId="171" fontId="3" fillId="8" borderId="114" xfId="0" applyNumberFormat="1" applyFont="1" applyFill="1" applyBorder="1" applyAlignment="1">
      <alignment vertical="center"/>
    </xf>
    <xf numFmtId="167" fontId="0" fillId="7" borderId="117" xfId="0" applyNumberFormat="1" applyFill="1" applyBorder="1" applyAlignment="1">
      <alignment horizontal="right" vertical="center"/>
    </xf>
    <xf numFmtId="171" fontId="3" fillId="0" borderId="39" xfId="0" applyNumberFormat="1" applyFont="1" applyBorder="1" applyAlignment="1">
      <alignment vertical="center"/>
    </xf>
    <xf numFmtId="171" fontId="3" fillId="7" borderId="118" xfId="0" applyNumberFormat="1" applyFont="1" applyFill="1" applyBorder="1" applyAlignment="1">
      <alignment vertical="center"/>
    </xf>
    <xf numFmtId="171" fontId="3" fillId="7" borderId="39" xfId="0" applyNumberFormat="1" applyFont="1" applyFill="1" applyBorder="1" applyAlignment="1">
      <alignment vertical="center"/>
    </xf>
    <xf numFmtId="171" fontId="3" fillId="8" borderId="87" xfId="0" applyNumberFormat="1" applyFont="1" applyFill="1" applyBorder="1" applyAlignment="1">
      <alignment vertical="center"/>
    </xf>
    <xf numFmtId="171" fontId="3" fillId="8" borderId="96" xfId="0" applyNumberFormat="1" applyFont="1" applyFill="1" applyBorder="1" applyAlignment="1">
      <alignment vertical="center"/>
    </xf>
    <xf numFmtId="167" fontId="0" fillId="7" borderId="116" xfId="0" applyNumberFormat="1" applyFill="1" applyBorder="1" applyAlignment="1">
      <alignment horizontal="right" vertical="center"/>
    </xf>
    <xf numFmtId="171" fontId="3" fillId="0" borderId="61" xfId="0" applyNumberFormat="1" applyFont="1" applyBorder="1" applyAlignment="1">
      <alignment vertical="center"/>
    </xf>
    <xf numFmtId="171" fontId="3" fillId="8" borderId="94" xfId="0" applyNumberFormat="1" applyFont="1" applyFill="1" applyBorder="1" applyAlignment="1">
      <alignment vertical="center"/>
    </xf>
    <xf numFmtId="171" fontId="3" fillId="8" borderId="95" xfId="0" applyNumberFormat="1" applyFont="1" applyFill="1" applyBorder="1" applyAlignment="1">
      <alignment vertical="center"/>
    </xf>
    <xf numFmtId="0" fontId="1" fillId="7" borderId="116" xfId="0" applyFont="1" applyFill="1" applyBorder="1" applyAlignment="1">
      <alignment horizontal="center" wrapText="1"/>
    </xf>
    <xf numFmtId="171" fontId="0" fillId="7" borderId="61" xfId="0" applyNumberFormat="1" applyFill="1" applyBorder="1"/>
    <xf numFmtId="171" fontId="0" fillId="7" borderId="61" xfId="0" applyNumberFormat="1" applyFill="1" applyBorder="1" applyAlignment="1">
      <alignment vertical="top"/>
    </xf>
    <xf numFmtId="171" fontId="0" fillId="7" borderId="114" xfId="0" applyNumberFormat="1" applyFill="1" applyBorder="1"/>
    <xf numFmtId="171" fontId="0" fillId="7" borderId="114" xfId="0" applyNumberFormat="1" applyFill="1" applyBorder="1" applyAlignment="1">
      <alignment vertical="top"/>
    </xf>
    <xf numFmtId="171" fontId="0" fillId="0" borderId="0" xfId="0" applyNumberFormat="1" applyAlignment="1">
      <alignment vertical="top"/>
    </xf>
    <xf numFmtId="167" fontId="0" fillId="8" borderId="119" xfId="0" applyNumberFormat="1" applyFill="1" applyBorder="1" applyAlignment="1">
      <alignment horizontal="right" vertical="center"/>
    </xf>
    <xf numFmtId="176" fontId="3" fillId="8" borderId="118" xfId="0" applyNumberFormat="1" applyFont="1" applyFill="1" applyBorder="1" applyAlignment="1" applyProtection="1">
      <alignment vertical="center"/>
      <protection locked="0"/>
    </xf>
    <xf numFmtId="176" fontId="3" fillId="0" borderId="0" xfId="0" applyNumberFormat="1" applyFont="1" applyAlignment="1">
      <alignment vertical="center"/>
    </xf>
    <xf numFmtId="0" fontId="0" fillId="0" borderId="3" xfId="0" applyBorder="1"/>
    <xf numFmtId="176" fontId="3" fillId="8" borderId="120" xfId="0" applyNumberFormat="1" applyFont="1" applyFill="1" applyBorder="1" applyAlignment="1" applyProtection="1">
      <alignment vertical="center"/>
      <protection locked="0"/>
    </xf>
    <xf numFmtId="176" fontId="3" fillId="8" borderId="121" xfId="0" applyNumberFormat="1" applyFont="1" applyFill="1" applyBorder="1" applyAlignment="1" applyProtection="1">
      <alignment vertical="center"/>
      <protection locked="0"/>
    </xf>
    <xf numFmtId="176" fontId="3" fillId="0" borderId="26" xfId="0" applyNumberFormat="1" applyFont="1" applyBorder="1" applyAlignment="1">
      <alignment vertical="center"/>
    </xf>
    <xf numFmtId="176" fontId="3" fillId="8" borderId="39" xfId="0" applyNumberFormat="1" applyFont="1" applyFill="1" applyBorder="1" applyAlignment="1" applyProtection="1">
      <alignment vertical="center"/>
      <protection locked="0"/>
    </xf>
    <xf numFmtId="167" fontId="0" fillId="8" borderId="122" xfId="0" applyNumberFormat="1" applyFill="1" applyBorder="1" applyAlignment="1">
      <alignment horizontal="right" vertical="center"/>
    </xf>
    <xf numFmtId="176" fontId="3" fillId="8" borderId="27" xfId="0" applyNumberFormat="1" applyFont="1" applyFill="1" applyBorder="1" applyAlignment="1" applyProtection="1">
      <alignment vertical="center"/>
      <protection locked="0"/>
    </xf>
    <xf numFmtId="176" fontId="0" fillId="0" borderId="0" xfId="0" applyNumberFormat="1"/>
    <xf numFmtId="176" fontId="3" fillId="0" borderId="123" xfId="0" applyNumberFormat="1" applyFont="1" applyBorder="1" applyAlignment="1">
      <alignment vertical="center"/>
    </xf>
    <xf numFmtId="176" fontId="3" fillId="8" borderId="107" xfId="0" applyNumberFormat="1" applyFont="1" applyFill="1" applyBorder="1" applyAlignment="1" applyProtection="1">
      <alignment vertical="center"/>
      <protection locked="0"/>
    </xf>
    <xf numFmtId="176" fontId="3" fillId="8" borderId="115" xfId="0" applyNumberFormat="1" applyFont="1" applyFill="1" applyBorder="1" applyAlignment="1" applyProtection="1">
      <alignment vertical="center"/>
      <protection locked="0"/>
    </xf>
    <xf numFmtId="176" fontId="3" fillId="0" borderId="0" xfId="0" applyNumberFormat="1" applyFont="1" applyAlignment="1" applyProtection="1">
      <alignment vertical="center"/>
      <protection locked="0"/>
    </xf>
    <xf numFmtId="176" fontId="3" fillId="8" borderId="12" xfId="0" applyNumberFormat="1" applyFont="1" applyFill="1" applyBorder="1" applyAlignment="1" applyProtection="1">
      <alignment vertical="center"/>
      <protection locked="0"/>
    </xf>
    <xf numFmtId="167" fontId="1" fillId="7" borderId="116" xfId="0" applyNumberFormat="1" applyFont="1" applyFill="1" applyBorder="1" applyAlignment="1">
      <alignment horizontal="center" vertical="center" wrapText="1"/>
    </xf>
    <xf numFmtId="176" fontId="3" fillId="7" borderId="114" xfId="0" applyNumberFormat="1" applyFont="1" applyFill="1" applyBorder="1" applyAlignment="1">
      <alignment horizontal="right" vertical="center"/>
    </xf>
    <xf numFmtId="176" fontId="3" fillId="0" borderId="0" xfId="1" applyNumberFormat="1" applyFont="1" applyFill="1" applyBorder="1" applyAlignment="1" applyProtection="1">
      <alignment horizontal="right" vertical="center"/>
    </xf>
    <xf numFmtId="176" fontId="3" fillId="0" borderId="123" xfId="1" applyNumberFormat="1" applyFont="1" applyFill="1" applyBorder="1" applyAlignment="1" applyProtection="1">
      <alignment horizontal="right" vertical="center"/>
    </xf>
    <xf numFmtId="176" fontId="3" fillId="7" borderId="72" xfId="0" applyNumberFormat="1" applyFont="1" applyFill="1" applyBorder="1" applyAlignment="1">
      <alignment horizontal="right" vertical="center"/>
    </xf>
    <xf numFmtId="176" fontId="3" fillId="7" borderId="116" xfId="0" applyNumberFormat="1" applyFont="1" applyFill="1" applyBorder="1" applyAlignment="1">
      <alignment horizontal="right" vertical="center"/>
    </xf>
    <xf numFmtId="176" fontId="3" fillId="0" borderId="0" xfId="1" applyNumberFormat="1" applyFont="1" applyFill="1" applyBorder="1" applyAlignment="1" applyProtection="1">
      <alignment horizontal="right" vertical="center"/>
      <protection locked="0"/>
    </xf>
    <xf numFmtId="176" fontId="3" fillId="0" borderId="124" xfId="0" applyNumberFormat="1" applyFont="1" applyBorder="1" applyAlignment="1">
      <alignment horizontal="right" vertical="center"/>
    </xf>
    <xf numFmtId="176" fontId="3" fillId="0" borderId="124" xfId="1" applyNumberFormat="1" applyFont="1" applyFill="1" applyBorder="1" applyAlignment="1" applyProtection="1">
      <alignment horizontal="right" vertical="center"/>
    </xf>
    <xf numFmtId="176" fontId="3" fillId="0" borderId="26" xfId="0" applyNumberFormat="1" applyFont="1" applyBorder="1" applyAlignment="1">
      <alignment horizontal="right" vertical="center"/>
    </xf>
    <xf numFmtId="176" fontId="3" fillId="7" borderId="61" xfId="0" applyNumberFormat="1" applyFont="1" applyFill="1" applyBorder="1" applyAlignment="1">
      <alignment horizontal="right" vertical="center"/>
    </xf>
    <xf numFmtId="0" fontId="7" fillId="0" borderId="0" xfId="0" applyFont="1" applyAlignment="1">
      <alignment vertical="center"/>
    </xf>
    <xf numFmtId="164" fontId="0" fillId="0" borderId="0" xfId="0" quotePrefix="1" applyNumberFormat="1"/>
    <xf numFmtId="0" fontId="53" fillId="0" borderId="1" xfId="4" applyNumberFormat="1" applyFont="1" applyBorder="1" applyProtection="1">
      <protection locked="0"/>
    </xf>
    <xf numFmtId="178" fontId="1" fillId="0" borderId="1" xfId="4" applyFont="1" applyBorder="1" applyProtection="1">
      <protection locked="0"/>
    </xf>
    <xf numFmtId="179" fontId="53" fillId="0" borderId="1" xfId="4" applyNumberFormat="1" applyFont="1" applyBorder="1" applyAlignment="1" applyProtection="1">
      <alignment horizontal="right"/>
      <protection locked="0"/>
    </xf>
    <xf numFmtId="178" fontId="53" fillId="0" borderId="125" xfId="4" applyFont="1" applyBorder="1" applyAlignment="1" applyProtection="1">
      <alignment horizontal="left"/>
      <protection locked="0"/>
    </xf>
    <xf numFmtId="178" fontId="1" fillId="0" borderId="1" xfId="4" applyFont="1" applyBorder="1" applyAlignment="1" applyProtection="1">
      <alignment horizontal="left"/>
      <protection locked="0"/>
    </xf>
    <xf numFmtId="178" fontId="53" fillId="0" borderId="1" xfId="4" applyFont="1" applyBorder="1" applyAlignment="1" applyProtection="1">
      <alignment horizontal="right"/>
      <protection locked="0"/>
    </xf>
    <xf numFmtId="1" fontId="53" fillId="0" borderId="1" xfId="4" applyNumberFormat="1" applyFont="1" applyBorder="1" applyAlignment="1" applyProtection="1">
      <alignment horizontal="right"/>
      <protection locked="0"/>
    </xf>
    <xf numFmtId="178" fontId="53" fillId="0" borderId="125" xfId="4" applyFont="1" applyBorder="1" applyAlignment="1" applyProtection="1">
      <alignment horizontal="right"/>
      <protection locked="0"/>
    </xf>
    <xf numFmtId="1" fontId="54" fillId="0" borderId="0" xfId="1" applyNumberFormat="1" applyFont="1" applyAlignment="1" applyProtection="1">
      <alignment horizontal="center"/>
      <protection locked="0"/>
    </xf>
    <xf numFmtId="180" fontId="54" fillId="0" borderId="0" xfId="4" applyNumberFormat="1" applyFont="1" applyProtection="1">
      <protection locked="0"/>
    </xf>
    <xf numFmtId="20" fontId="54" fillId="0" borderId="0" xfId="4" applyNumberFormat="1" applyFont="1" applyAlignment="1" applyProtection="1">
      <alignment horizontal="right"/>
      <protection locked="0"/>
    </xf>
    <xf numFmtId="1" fontId="54" fillId="0" borderId="28" xfId="1" applyNumberFormat="1" applyFont="1" applyBorder="1" applyAlignment="1" applyProtection="1">
      <alignment horizontal="center"/>
      <protection locked="0"/>
    </xf>
    <xf numFmtId="178" fontId="54" fillId="0" borderId="28" xfId="4" applyFont="1" applyBorder="1" applyAlignment="1" applyProtection="1">
      <alignment horizontal="right"/>
      <protection locked="0"/>
    </xf>
    <xf numFmtId="182" fontId="54" fillId="0" borderId="0" xfId="1" applyNumberFormat="1" applyFont="1" applyAlignment="1" applyProtection="1">
      <alignment horizontal="left"/>
      <protection locked="0"/>
    </xf>
    <xf numFmtId="180" fontId="54" fillId="0" borderId="0" xfId="4" applyNumberFormat="1" applyFont="1" applyAlignment="1" applyProtection="1">
      <alignment horizontal="right"/>
      <protection locked="0"/>
    </xf>
    <xf numFmtId="1" fontId="54" fillId="0" borderId="1" xfId="1" applyNumberFormat="1" applyFont="1" applyBorder="1" applyAlignment="1" applyProtection="1">
      <alignment horizontal="center"/>
      <protection locked="0"/>
    </xf>
    <xf numFmtId="180" fontId="54" fillId="0" borderId="1" xfId="4" applyNumberFormat="1" applyFont="1" applyBorder="1" applyProtection="1">
      <protection locked="0"/>
    </xf>
    <xf numFmtId="20" fontId="54" fillId="0" borderId="61" xfId="4" applyNumberFormat="1" applyFont="1" applyBorder="1" applyAlignment="1" applyProtection="1">
      <alignment horizontal="right"/>
      <protection locked="0"/>
    </xf>
    <xf numFmtId="1" fontId="54" fillId="0" borderId="125" xfId="1" applyNumberFormat="1" applyFont="1" applyBorder="1" applyAlignment="1" applyProtection="1">
      <alignment horizontal="center"/>
      <protection locked="0"/>
    </xf>
    <xf numFmtId="179" fontId="54" fillId="0" borderId="1" xfId="4" applyNumberFormat="1" applyFont="1" applyBorder="1" applyAlignment="1" applyProtection="1">
      <alignment horizontal="fill"/>
      <protection locked="0"/>
    </xf>
    <xf numFmtId="180" fontId="54" fillId="0" borderId="61" xfId="4" applyNumberFormat="1" applyFont="1" applyBorder="1" applyAlignment="1" applyProtection="1">
      <alignment horizontal="right"/>
      <protection locked="0"/>
    </xf>
    <xf numFmtId="185" fontId="54" fillId="0" borderId="125" xfId="4" applyNumberFormat="1" applyFont="1" applyBorder="1" applyAlignment="1" applyProtection="1">
      <alignment horizontal="center"/>
      <protection locked="0"/>
    </xf>
    <xf numFmtId="178" fontId="54" fillId="0" borderId="1" xfId="4" applyFont="1" applyBorder="1" applyProtection="1">
      <protection locked="0"/>
    </xf>
    <xf numFmtId="178" fontId="54" fillId="0" borderId="61" xfId="4" applyFont="1" applyBorder="1" applyAlignment="1" applyProtection="1">
      <alignment horizontal="right"/>
      <protection locked="0"/>
    </xf>
    <xf numFmtId="178" fontId="54" fillId="0" borderId="125" xfId="4" applyFont="1" applyBorder="1" applyAlignment="1" applyProtection="1">
      <alignment horizontal="center"/>
      <protection locked="0"/>
    </xf>
    <xf numFmtId="1" fontId="54" fillId="0" borderId="125" xfId="4" applyNumberFormat="1" applyFont="1" applyBorder="1" applyAlignment="1" applyProtection="1">
      <alignment horizontal="center"/>
      <protection locked="0"/>
    </xf>
    <xf numFmtId="178" fontId="25" fillId="0" borderId="0" xfId="4" applyFont="1" applyProtection="1">
      <protection locked="0"/>
    </xf>
    <xf numFmtId="178" fontId="4" fillId="0" borderId="126" xfId="4" applyFont="1" applyBorder="1" applyAlignment="1" applyProtection="1">
      <alignment horizontal="right" vertical="center"/>
      <protection locked="0"/>
    </xf>
    <xf numFmtId="1" fontId="25" fillId="0" borderId="0" xfId="4" applyNumberFormat="1" applyFont="1" applyAlignment="1" applyProtection="1">
      <alignment vertical="center"/>
      <protection locked="0"/>
    </xf>
    <xf numFmtId="1" fontId="25" fillId="0" borderId="0" xfId="4" applyNumberFormat="1" applyFont="1" applyAlignment="1" applyProtection="1">
      <alignment horizontal="right" vertical="center"/>
      <protection locked="0"/>
    </xf>
    <xf numFmtId="178" fontId="3" fillId="0" borderId="0" xfId="4" applyFont="1" applyAlignment="1" applyProtection="1">
      <alignment horizontal="right" vertical="center"/>
      <protection locked="0"/>
    </xf>
    <xf numFmtId="178" fontId="4" fillId="0" borderId="0" xfId="4" applyFont="1" applyAlignment="1" applyProtection="1">
      <alignment horizontal="right" vertical="center"/>
      <protection locked="0"/>
    </xf>
    <xf numFmtId="182" fontId="25" fillId="0" borderId="0" xfId="1" applyNumberFormat="1" applyFont="1" applyBorder="1" applyAlignment="1" applyProtection="1">
      <protection locked="0"/>
    </xf>
    <xf numFmtId="182" fontId="4" fillId="0" borderId="0" xfId="1" applyNumberFormat="1" applyFont="1" applyBorder="1" applyAlignment="1" applyProtection="1">
      <protection locked="0"/>
    </xf>
    <xf numFmtId="182" fontId="25" fillId="0" borderId="0" xfId="1" applyNumberFormat="1" applyFont="1" applyBorder="1" applyAlignment="1" applyProtection="1">
      <alignment vertical="center"/>
      <protection locked="0"/>
    </xf>
    <xf numFmtId="1" fontId="54" fillId="0" borderId="0" xfId="4" applyNumberFormat="1" applyFont="1" applyAlignment="1" applyProtection="1">
      <alignment horizontal="right" vertical="center"/>
      <protection locked="0"/>
    </xf>
    <xf numFmtId="178" fontId="53" fillId="0" borderId="0" xfId="4" applyFont="1" applyAlignment="1" applyProtection="1">
      <alignment horizontal="left"/>
      <protection locked="0"/>
    </xf>
    <xf numFmtId="1" fontId="54" fillId="0" borderId="0" xfId="4" applyNumberFormat="1" applyFont="1" applyAlignment="1" applyProtection="1">
      <alignment vertical="center"/>
      <protection locked="0"/>
    </xf>
    <xf numFmtId="182" fontId="54" fillId="0" borderId="0" xfId="1" applyNumberFormat="1" applyFont="1" applyBorder="1" applyAlignment="1" applyProtection="1">
      <protection locked="0"/>
    </xf>
    <xf numFmtId="178" fontId="12" fillId="0" borderId="0" xfId="4" applyFont="1" applyAlignment="1" applyProtection="1">
      <alignment horizontal="right" vertical="center"/>
      <protection locked="0"/>
    </xf>
    <xf numFmtId="182" fontId="12" fillId="0" borderId="0" xfId="1" applyNumberFormat="1" applyFont="1" applyBorder="1" applyAlignment="1" applyProtection="1">
      <protection locked="0"/>
    </xf>
    <xf numFmtId="182" fontId="54" fillId="0" borderId="0" xfId="1" applyNumberFormat="1" applyFont="1" applyBorder="1" applyAlignment="1" applyProtection="1">
      <alignment vertical="center"/>
      <protection locked="0"/>
    </xf>
    <xf numFmtId="1" fontId="54" fillId="0" borderId="0" xfId="4" applyNumberFormat="1" applyFont="1" applyAlignment="1">
      <alignment vertical="center"/>
    </xf>
    <xf numFmtId="182" fontId="4" fillId="0" borderId="0" xfId="1" applyNumberFormat="1" applyFont="1" applyBorder="1" applyAlignment="1" applyProtection="1"/>
    <xf numFmtId="1" fontId="25" fillId="0" borderId="0" xfId="4" applyNumberFormat="1" applyFont="1" applyAlignment="1">
      <alignment vertical="center"/>
    </xf>
    <xf numFmtId="182" fontId="4" fillId="0" borderId="0" xfId="1" applyNumberFormat="1" applyFont="1" applyBorder="1" applyAlignment="1"/>
    <xf numFmtId="184" fontId="54" fillId="0" borderId="0" xfId="4" applyNumberFormat="1" applyFont="1" applyAlignment="1" applyProtection="1">
      <alignment vertical="center"/>
      <protection locked="0"/>
    </xf>
    <xf numFmtId="0" fontId="55" fillId="16" borderId="0" xfId="4" applyNumberFormat="1" applyFont="1" applyFill="1" applyAlignment="1" applyProtection="1">
      <alignment horizontal="center"/>
      <protection locked="0"/>
    </xf>
    <xf numFmtId="178" fontId="55" fillId="16" borderId="0" xfId="4" applyFont="1" applyFill="1" applyProtection="1">
      <protection locked="0"/>
    </xf>
    <xf numFmtId="180" fontId="55" fillId="16" borderId="0" xfId="4" applyNumberFormat="1" applyFont="1" applyFill="1" applyAlignment="1" applyProtection="1">
      <alignment horizontal="right"/>
      <protection locked="0"/>
    </xf>
    <xf numFmtId="178" fontId="55" fillId="16" borderId="0" xfId="4" applyFont="1" applyFill="1" applyAlignment="1" applyProtection="1">
      <alignment horizontal="center"/>
      <protection locked="0"/>
    </xf>
    <xf numFmtId="43" fontId="55" fillId="16" borderId="0" xfId="1" applyFont="1" applyFill="1" applyBorder="1" applyAlignment="1" applyProtection="1">
      <alignment horizontal="right"/>
      <protection locked="0"/>
    </xf>
    <xf numFmtId="1" fontId="55" fillId="16" borderId="0" xfId="4" applyNumberFormat="1" applyFont="1" applyFill="1" applyAlignment="1" applyProtection="1">
      <alignment horizontal="center"/>
      <protection locked="0"/>
    </xf>
    <xf numFmtId="43" fontId="55" fillId="16" borderId="0" xfId="1" applyFont="1" applyFill="1" applyAlignment="1" applyProtection="1">
      <protection locked="0"/>
    </xf>
    <xf numFmtId="178" fontId="55" fillId="16" borderId="28" xfId="4" applyFont="1" applyFill="1" applyBorder="1" applyAlignment="1" applyProtection="1">
      <alignment horizontal="center"/>
      <protection locked="0"/>
    </xf>
    <xf numFmtId="178" fontId="55" fillId="16" borderId="28" xfId="4" applyFont="1" applyFill="1" applyBorder="1" applyProtection="1">
      <protection locked="0"/>
    </xf>
    <xf numFmtId="178" fontId="55" fillId="16" borderId="28" xfId="4" applyFont="1" applyFill="1" applyBorder="1" applyAlignment="1" applyProtection="1">
      <alignment horizontal="right"/>
      <protection locked="0"/>
    </xf>
    <xf numFmtId="0" fontId="55" fillId="16" borderId="0" xfId="4" applyNumberFormat="1" applyFont="1" applyFill="1" applyProtection="1">
      <protection locked="0"/>
    </xf>
    <xf numFmtId="178" fontId="55" fillId="16" borderId="0" xfId="4" applyFont="1" applyFill="1" applyAlignment="1" applyProtection="1">
      <alignment horizontal="right"/>
      <protection locked="0"/>
    </xf>
    <xf numFmtId="2" fontId="55" fillId="16" borderId="0" xfId="4" applyNumberFormat="1" applyFont="1" applyFill="1" applyAlignment="1" applyProtection="1">
      <alignment horizontal="right"/>
      <protection locked="0"/>
    </xf>
    <xf numFmtId="181" fontId="55" fillId="16" borderId="28" xfId="4" applyNumberFormat="1" applyFont="1" applyFill="1" applyBorder="1" applyAlignment="1" applyProtection="1">
      <alignment horizontal="right"/>
      <protection locked="0"/>
    </xf>
    <xf numFmtId="184" fontId="55" fillId="16" borderId="0" xfId="4" applyNumberFormat="1" applyFont="1" applyFill="1" applyAlignment="1" applyProtection="1">
      <alignment horizontal="center"/>
      <protection locked="0"/>
    </xf>
    <xf numFmtId="181" fontId="55" fillId="16" borderId="0" xfId="1" applyNumberFormat="1" applyFont="1" applyFill="1" applyAlignment="1" applyProtection="1">
      <protection locked="0"/>
    </xf>
    <xf numFmtId="184" fontId="55" fillId="16" borderId="0" xfId="4" applyNumberFormat="1" applyFont="1" applyFill="1" applyAlignment="1" applyProtection="1">
      <alignment horizontal="right"/>
      <protection locked="0"/>
    </xf>
    <xf numFmtId="184" fontId="55" fillId="16" borderId="28" xfId="4" applyNumberFormat="1" applyFont="1" applyFill="1" applyBorder="1" applyAlignment="1" applyProtection="1">
      <alignment horizontal="center"/>
      <protection locked="0"/>
    </xf>
    <xf numFmtId="181" fontId="55" fillId="16" borderId="0" xfId="4" applyNumberFormat="1" applyFont="1" applyFill="1" applyProtection="1">
      <protection locked="0"/>
    </xf>
    <xf numFmtId="184" fontId="55" fillId="16" borderId="28" xfId="4" applyNumberFormat="1" applyFont="1" applyFill="1" applyBorder="1" applyProtection="1">
      <protection locked="0"/>
    </xf>
    <xf numFmtId="1" fontId="54" fillId="16" borderId="0" xfId="4" applyNumberFormat="1" applyFont="1" applyFill="1" applyAlignment="1" applyProtection="1">
      <alignment horizontal="center"/>
      <protection locked="0"/>
    </xf>
    <xf numFmtId="0" fontId="54" fillId="16" borderId="0" xfId="4" applyNumberFormat="1" applyFont="1" applyFill="1" applyProtection="1">
      <protection locked="0"/>
    </xf>
    <xf numFmtId="178" fontId="54" fillId="16" borderId="0" xfId="4" applyFont="1" applyFill="1" applyAlignment="1" applyProtection="1">
      <alignment horizontal="right"/>
      <protection locked="0"/>
    </xf>
    <xf numFmtId="178" fontId="54" fillId="16" borderId="0" xfId="4" applyFont="1" applyFill="1" applyAlignment="1" applyProtection="1">
      <alignment horizontal="center"/>
      <protection locked="0"/>
    </xf>
    <xf numFmtId="178" fontId="54" fillId="16" borderId="0" xfId="4" applyFont="1" applyFill="1" applyProtection="1">
      <protection locked="0"/>
    </xf>
    <xf numFmtId="2" fontId="54" fillId="16" borderId="0" xfId="4" applyNumberFormat="1" applyFont="1" applyFill="1" applyAlignment="1" applyProtection="1">
      <alignment horizontal="right"/>
      <protection locked="0"/>
    </xf>
    <xf numFmtId="178" fontId="12" fillId="16" borderId="0" xfId="4" applyFont="1" applyFill="1" applyAlignment="1" applyProtection="1">
      <alignment horizontal="center"/>
      <protection locked="0"/>
    </xf>
    <xf numFmtId="178" fontId="12" fillId="16" borderId="0" xfId="4" applyFont="1" applyFill="1" applyProtection="1">
      <protection locked="0"/>
    </xf>
    <xf numFmtId="178" fontId="12" fillId="16" borderId="0" xfId="4" applyFont="1" applyFill="1" applyAlignment="1" applyProtection="1">
      <alignment horizontal="right"/>
      <protection locked="0"/>
    </xf>
    <xf numFmtId="43" fontId="12" fillId="16" borderId="0" xfId="4" applyNumberFormat="1" applyFont="1" applyFill="1" applyAlignment="1" applyProtection="1">
      <alignment horizontal="center"/>
      <protection locked="0"/>
    </xf>
    <xf numFmtId="43" fontId="12" fillId="16" borderId="0" xfId="4" applyNumberFormat="1" applyFont="1" applyFill="1" applyAlignment="1" applyProtection="1">
      <alignment horizontal="centerContinuous"/>
      <protection locked="0"/>
    </xf>
    <xf numFmtId="43" fontId="12" fillId="16" borderId="0" xfId="4" applyNumberFormat="1" applyFont="1" applyFill="1" applyAlignment="1" applyProtection="1">
      <alignment horizontal="right"/>
      <protection locked="0"/>
    </xf>
    <xf numFmtId="178" fontId="12" fillId="0" borderId="0" xfId="4" applyFont="1" applyAlignment="1" applyProtection="1">
      <alignment horizontal="center"/>
      <protection locked="0"/>
    </xf>
    <xf numFmtId="168" fontId="12" fillId="0" borderId="0" xfId="4" applyNumberFormat="1" applyFont="1"/>
    <xf numFmtId="178" fontId="54" fillId="0" borderId="0" xfId="4" applyFont="1" applyAlignment="1">
      <alignment horizontal="right"/>
    </xf>
    <xf numFmtId="9" fontId="12" fillId="0" borderId="0" xfId="4" applyNumberFormat="1" applyFont="1" applyAlignment="1">
      <alignment horizontal="center"/>
    </xf>
    <xf numFmtId="43" fontId="12" fillId="0" borderId="0" xfId="4" applyNumberFormat="1" applyFont="1" applyAlignment="1">
      <alignment horizontal="center"/>
    </xf>
    <xf numFmtId="178" fontId="12" fillId="0" borderId="0" xfId="4" applyFont="1" applyAlignment="1">
      <alignment horizontal="right"/>
    </xf>
    <xf numFmtId="43" fontId="12" fillId="0" borderId="0" xfId="4" applyNumberFormat="1" applyFont="1" applyAlignment="1">
      <alignment horizontal="right"/>
    </xf>
    <xf numFmtId="178" fontId="54" fillId="0" borderId="0" xfId="4" applyFont="1" applyAlignment="1">
      <alignment horizontal="center"/>
    </xf>
    <xf numFmtId="178" fontId="54" fillId="0" borderId="0" xfId="4" applyFont="1"/>
    <xf numFmtId="2" fontId="54" fillId="0" borderId="0" xfId="4" applyNumberFormat="1" applyFont="1" applyAlignment="1">
      <alignment horizontal="right"/>
    </xf>
    <xf numFmtId="173" fontId="12" fillId="16" borderId="0" xfId="4" applyNumberFormat="1" applyFont="1" applyFill="1" applyAlignment="1" applyProtection="1">
      <alignment horizontal="center"/>
      <protection locked="0"/>
    </xf>
    <xf numFmtId="176" fontId="12" fillId="16" borderId="0" xfId="4" applyNumberFormat="1" applyFont="1" applyFill="1" applyAlignment="1" applyProtection="1">
      <alignment horizontal="center"/>
      <protection locked="0"/>
    </xf>
    <xf numFmtId="183" fontId="56" fillId="16" borderId="0" xfId="1" applyNumberFormat="1" applyFont="1" applyFill="1" applyBorder="1" applyAlignment="1" applyProtection="1">
      <alignment horizontal="right"/>
      <protection locked="0"/>
    </xf>
    <xf numFmtId="9" fontId="12" fillId="16" borderId="0" xfId="3" applyFont="1" applyFill="1" applyBorder="1" applyAlignment="1" applyProtection="1">
      <alignment horizontal="center"/>
      <protection locked="0"/>
    </xf>
    <xf numFmtId="178" fontId="54" fillId="0" borderId="0" xfId="4" applyFont="1" applyProtection="1">
      <protection locked="0"/>
    </xf>
    <xf numFmtId="1" fontId="54" fillId="0" borderId="0" xfId="4" applyNumberFormat="1" applyFont="1" applyAlignment="1">
      <alignment horizontal="center"/>
    </xf>
    <xf numFmtId="0" fontId="54" fillId="0" borderId="0" xfId="4" applyNumberFormat="1" applyFont="1"/>
    <xf numFmtId="1" fontId="54" fillId="0" borderId="0" xfId="4" applyNumberFormat="1" applyFont="1" applyAlignment="1" applyProtection="1">
      <alignment horizontal="center"/>
      <protection locked="0"/>
    </xf>
    <xf numFmtId="183" fontId="54" fillId="0" borderId="0" xfId="1" applyNumberFormat="1" applyFont="1" applyBorder="1" applyAlignment="1" applyProtection="1">
      <protection locked="0"/>
    </xf>
    <xf numFmtId="178" fontId="54" fillId="0" borderId="0" xfId="4" applyFont="1" applyAlignment="1" applyProtection="1">
      <alignment horizontal="right"/>
      <protection locked="0"/>
    </xf>
    <xf numFmtId="183" fontId="54" fillId="0" borderId="0" xfId="1" applyNumberFormat="1" applyFont="1" applyBorder="1" applyAlignment="1" applyProtection="1">
      <alignment horizontal="center"/>
      <protection locked="0"/>
    </xf>
    <xf numFmtId="0" fontId="54" fillId="0" borderId="0" xfId="4" applyNumberFormat="1" applyFont="1" applyProtection="1">
      <protection locked="0"/>
    </xf>
    <xf numFmtId="178" fontId="54" fillId="0" borderId="0" xfId="4" applyFont="1" applyAlignment="1" applyProtection="1">
      <alignment horizontal="center"/>
      <protection locked="0"/>
    </xf>
    <xf numFmtId="178" fontId="24" fillId="16" borderId="0" xfId="4" applyFill="1" applyProtection="1">
      <protection locked="0"/>
    </xf>
    <xf numFmtId="20" fontId="24" fillId="16" borderId="0" xfId="4" applyNumberFormat="1" applyFill="1" applyProtection="1">
      <protection locked="0"/>
    </xf>
    <xf numFmtId="176" fontId="20" fillId="0" borderId="0" xfId="0" applyNumberFormat="1" applyFont="1"/>
    <xf numFmtId="164" fontId="17" fillId="9" borderId="0" xfId="0" applyNumberFormat="1" applyFont="1" applyFill="1" applyProtection="1">
      <protection hidden="1"/>
    </xf>
    <xf numFmtId="171" fontId="3" fillId="7" borderId="107" xfId="0" applyNumberFormat="1" applyFont="1" applyFill="1" applyBorder="1" applyAlignment="1" applyProtection="1">
      <alignment vertical="center"/>
      <protection hidden="1"/>
    </xf>
    <xf numFmtId="178" fontId="53" fillId="0" borderId="0" xfId="4" applyFont="1" applyAlignment="1">
      <alignment horizontal="left"/>
    </xf>
    <xf numFmtId="178" fontId="25" fillId="0" borderId="0" xfId="4" applyFont="1"/>
    <xf numFmtId="178" fontId="55" fillId="0" borderId="0" xfId="4" applyFont="1"/>
    <xf numFmtId="184" fontId="55" fillId="0" borderId="0" xfId="4" applyNumberFormat="1" applyFont="1"/>
    <xf numFmtId="188" fontId="0" fillId="3" borderId="0" xfId="0" applyNumberFormat="1" applyFill="1" applyAlignment="1" applyProtection="1">
      <alignment horizontal="right"/>
      <protection hidden="1"/>
    </xf>
    <xf numFmtId="188" fontId="0" fillId="4" borderId="0" xfId="0" applyNumberFormat="1" applyFill="1" applyAlignment="1" applyProtection="1">
      <alignment horizontal="right"/>
      <protection hidden="1"/>
    </xf>
    <xf numFmtId="188" fontId="0" fillId="5" borderId="0" xfId="0" applyNumberFormat="1" applyFill="1" applyAlignment="1" applyProtection="1">
      <alignment horizontal="right"/>
      <protection hidden="1"/>
    </xf>
    <xf numFmtId="188" fontId="0" fillId="6" borderId="0" xfId="0" applyNumberFormat="1" applyFill="1" applyAlignment="1" applyProtection="1">
      <alignment horizontal="right"/>
      <protection hidden="1"/>
    </xf>
    <xf numFmtId="188" fontId="0" fillId="7" borderId="0" xfId="0" applyNumberFormat="1" applyFill="1" applyAlignment="1" applyProtection="1">
      <alignment horizontal="right"/>
      <protection hidden="1"/>
    </xf>
    <xf numFmtId="0" fontId="0" fillId="0" borderId="8" xfId="0" applyBorder="1" applyAlignment="1" applyProtection="1">
      <alignment horizontal="center"/>
      <protection hidden="1"/>
    </xf>
    <xf numFmtId="189" fontId="0" fillId="0" borderId="3" xfId="0" applyNumberFormat="1" applyBorder="1" applyAlignment="1" applyProtection="1">
      <alignment horizontal="center"/>
      <protection hidden="1"/>
    </xf>
    <xf numFmtId="189" fontId="0" fillId="0" borderId="1" xfId="0" applyNumberFormat="1" applyBorder="1" applyAlignment="1" applyProtection="1">
      <alignment horizontal="center"/>
      <protection hidden="1"/>
    </xf>
    <xf numFmtId="0" fontId="0" fillId="8" borderId="55" xfId="0" applyFill="1" applyBorder="1" applyAlignment="1" applyProtection="1">
      <alignment shrinkToFit="1"/>
      <protection locked="0" hidden="1"/>
    </xf>
    <xf numFmtId="0" fontId="0" fillId="8" borderId="131" xfId="0" applyFill="1" applyBorder="1" applyAlignment="1" applyProtection="1">
      <alignment shrinkToFit="1"/>
      <protection locked="0" hidden="1"/>
    </xf>
    <xf numFmtId="0" fontId="0" fillId="8" borderId="130" xfId="0" applyFill="1" applyBorder="1" applyAlignment="1" applyProtection="1">
      <alignment shrinkToFit="1"/>
      <protection locked="0" hidden="1"/>
    </xf>
    <xf numFmtId="184" fontId="0" fillId="0" borderId="0" xfId="0" applyNumberFormat="1" applyProtection="1">
      <protection hidden="1"/>
    </xf>
    <xf numFmtId="0" fontId="3" fillId="0" borderId="0" xfId="0" applyFont="1" applyAlignment="1" applyProtection="1">
      <alignment horizontal="left" indent="1"/>
      <protection hidden="1"/>
    </xf>
    <xf numFmtId="0" fontId="1" fillId="0" borderId="0" xfId="0" applyFont="1" applyAlignment="1" applyProtection="1">
      <alignment horizontal="left"/>
      <protection hidden="1"/>
    </xf>
    <xf numFmtId="0" fontId="1" fillId="0" borderId="0" xfId="0" applyFont="1" applyAlignment="1" applyProtection="1">
      <alignment vertical="center"/>
      <protection hidden="1"/>
    </xf>
    <xf numFmtId="0" fontId="22" fillId="3" borderId="0" xfId="0" applyFont="1" applyFill="1" applyProtection="1">
      <protection hidden="1"/>
    </xf>
    <xf numFmtId="0" fontId="12" fillId="3" borderId="0" xfId="0" applyFont="1" applyFill="1" applyProtection="1">
      <protection hidden="1"/>
    </xf>
    <xf numFmtId="0" fontId="3" fillId="0" borderId="0" xfId="0" applyFont="1" applyAlignment="1" applyProtection="1">
      <alignment horizontal="left" vertical="top"/>
      <protection hidden="1"/>
    </xf>
    <xf numFmtId="0" fontId="12" fillId="0" borderId="0" xfId="0" applyFont="1" applyProtection="1">
      <protection hidden="1"/>
    </xf>
    <xf numFmtId="0" fontId="3" fillId="0" borderId="0" xfId="0" applyFont="1" applyAlignment="1" applyProtection="1">
      <alignment horizontal="center"/>
      <protection hidden="1"/>
    </xf>
    <xf numFmtId="0" fontId="1" fillId="3" borderId="140" xfId="0" applyFont="1" applyFill="1" applyBorder="1" applyAlignment="1" applyProtection="1">
      <alignment horizontal="center" vertical="top"/>
      <protection hidden="1"/>
    </xf>
    <xf numFmtId="0" fontId="1" fillId="0" borderId="141" xfId="0" applyFont="1" applyBorder="1" applyAlignment="1" applyProtection="1">
      <alignment horizontal="left" vertical="top" wrapText="1"/>
      <protection hidden="1"/>
    </xf>
    <xf numFmtId="0" fontId="3" fillId="0" borderId="142" xfId="0" applyFont="1" applyBorder="1" applyAlignment="1" applyProtection="1">
      <alignment horizontal="left" vertical="top" wrapText="1"/>
      <protection hidden="1"/>
    </xf>
    <xf numFmtId="0" fontId="1" fillId="0" borderId="142" xfId="0" applyFont="1" applyBorder="1" applyAlignment="1" applyProtection="1">
      <alignment horizontal="left" vertical="top" wrapText="1"/>
      <protection hidden="1"/>
    </xf>
    <xf numFmtId="0" fontId="3" fillId="0" borderId="0" xfId="0" applyFont="1" applyProtection="1">
      <protection locked="0" hidden="1"/>
    </xf>
    <xf numFmtId="0" fontId="2" fillId="0" borderId="141" xfId="0" applyFont="1" applyBorder="1" applyAlignment="1" applyProtection="1">
      <alignment horizontal="left" vertical="top" wrapText="1"/>
      <protection hidden="1"/>
    </xf>
    <xf numFmtId="0" fontId="41" fillId="0" borderId="0" xfId="2" applyFont="1" applyAlignment="1" applyProtection="1">
      <alignment horizontal="left" vertical="top"/>
      <protection hidden="1"/>
    </xf>
    <xf numFmtId="0" fontId="32" fillId="0" borderId="142" xfId="0" applyFont="1" applyBorder="1" applyAlignment="1" applyProtection="1">
      <alignment horizontal="left" vertical="top" wrapText="1"/>
      <protection hidden="1"/>
    </xf>
    <xf numFmtId="0" fontId="17" fillId="0" borderId="142" xfId="0" applyFont="1" applyBorder="1" applyAlignment="1" applyProtection="1">
      <alignment horizontal="left" vertical="top" wrapText="1"/>
      <protection hidden="1"/>
    </xf>
    <xf numFmtId="0" fontId="0" fillId="0" borderId="141" xfId="0" applyBorder="1" applyProtection="1">
      <protection hidden="1"/>
    </xf>
    <xf numFmtId="0" fontId="3" fillId="0" borderId="142" xfId="0" applyFont="1" applyBorder="1" applyAlignment="1" applyProtection="1">
      <alignment horizontal="left" vertical="center" wrapText="1"/>
      <protection hidden="1"/>
    </xf>
    <xf numFmtId="0" fontId="3" fillId="0" borderId="141" xfId="0" applyFont="1" applyBorder="1" applyAlignment="1" applyProtection="1">
      <alignment horizontal="left" vertical="top" wrapText="1"/>
      <protection hidden="1"/>
    </xf>
    <xf numFmtId="0" fontId="19" fillId="0" borderId="142" xfId="2" applyFont="1" applyFill="1" applyBorder="1" applyAlignment="1" applyProtection="1">
      <alignment horizontal="left" vertical="top" wrapText="1"/>
      <protection locked="0" hidden="1"/>
    </xf>
    <xf numFmtId="0" fontId="40" fillId="3" borderId="0" xfId="2" applyFont="1" applyFill="1" applyBorder="1" applyAlignment="1" applyProtection="1">
      <alignment horizontal="center" vertical="center"/>
      <protection hidden="1"/>
    </xf>
    <xf numFmtId="0" fontId="8" fillId="0" borderId="0" xfId="0" applyFont="1" applyProtection="1">
      <protection hidden="1"/>
    </xf>
    <xf numFmtId="0" fontId="0" fillId="8" borderId="140" xfId="0" applyFill="1" applyBorder="1" applyAlignment="1" applyProtection="1">
      <alignment horizontal="center"/>
      <protection locked="0" hidden="1"/>
    </xf>
    <xf numFmtId="0" fontId="3" fillId="0" borderId="0" xfId="0" applyFont="1" applyAlignment="1" applyProtection="1">
      <alignment horizontal="left" vertical="center"/>
      <protection hidden="1"/>
    </xf>
    <xf numFmtId="49" fontId="3" fillId="8" borderId="140" xfId="0" applyNumberFormat="1" applyFont="1" applyFill="1" applyBorder="1" applyAlignment="1" applyProtection="1">
      <alignment horizontal="right"/>
      <protection locked="0" hidden="1"/>
    </xf>
    <xf numFmtId="0" fontId="3" fillId="0" borderId="140" xfId="0" applyFont="1" applyBorder="1" applyAlignment="1" applyProtection="1">
      <alignment horizontal="right" vertical="center"/>
      <protection hidden="1"/>
    </xf>
    <xf numFmtId="0" fontId="0" fillId="0" borderId="140" xfId="0" applyBorder="1" applyAlignment="1" applyProtection="1">
      <alignment horizontal="right" vertical="center"/>
      <protection hidden="1"/>
    </xf>
    <xf numFmtId="0" fontId="3" fillId="7" borderId="143" xfId="0" applyFont="1" applyFill="1" applyBorder="1" applyAlignment="1" applyProtection="1">
      <alignment horizontal="center" vertical="center"/>
      <protection hidden="1"/>
    </xf>
    <xf numFmtId="0" fontId="0" fillId="7" borderId="143" xfId="0" applyFill="1" applyBorder="1" applyAlignment="1" applyProtection="1">
      <alignment horizontal="right" vertical="center"/>
      <protection hidden="1"/>
    </xf>
    <xf numFmtId="0" fontId="0" fillId="7" borderId="143" xfId="0" applyFill="1" applyBorder="1" applyAlignment="1" applyProtection="1">
      <alignment horizontal="right" vertical="center" wrapText="1"/>
      <protection hidden="1"/>
    </xf>
    <xf numFmtId="0" fontId="0" fillId="7" borderId="142" xfId="0" applyFill="1" applyBorder="1" applyAlignment="1" applyProtection="1">
      <alignment horizontal="right" vertical="center"/>
      <protection hidden="1"/>
    </xf>
    <xf numFmtId="0" fontId="0" fillId="7" borderId="140" xfId="0" applyFill="1" applyBorder="1" applyAlignment="1" applyProtection="1">
      <alignment horizontal="center" vertical="center" wrapText="1"/>
      <protection hidden="1"/>
    </xf>
    <xf numFmtId="0" fontId="0" fillId="0" borderId="140" xfId="0" applyBorder="1" applyAlignment="1" applyProtection="1">
      <alignment horizontal="center" vertical="center" wrapText="1"/>
      <protection hidden="1"/>
    </xf>
    <xf numFmtId="14" fontId="3" fillId="8" borderId="140" xfId="0" applyNumberFormat="1" applyFont="1" applyFill="1" applyBorder="1" applyProtection="1">
      <protection locked="0" hidden="1"/>
    </xf>
    <xf numFmtId="175" fontId="3" fillId="8" borderId="140" xfId="1" applyNumberFormat="1" applyFont="1" applyFill="1" applyBorder="1" applyProtection="1">
      <protection locked="0" hidden="1"/>
    </xf>
    <xf numFmtId="0" fontId="3" fillId="7" borderId="0" xfId="0" applyFont="1" applyFill="1" applyAlignment="1" applyProtection="1">
      <alignment horizontal="center"/>
      <protection hidden="1"/>
    </xf>
    <xf numFmtId="175" fontId="3" fillId="7" borderId="0" xfId="0" applyNumberFormat="1" applyFont="1" applyFill="1" applyProtection="1">
      <protection hidden="1"/>
    </xf>
    <xf numFmtId="176" fontId="2" fillId="7" borderId="9" xfId="0" applyNumberFormat="1" applyFont="1" applyFill="1" applyBorder="1" applyProtection="1">
      <protection hidden="1"/>
    </xf>
    <xf numFmtId="176" fontId="3" fillId="7" borderId="10" xfId="0" applyNumberFormat="1" applyFont="1" applyFill="1" applyBorder="1" applyProtection="1">
      <protection hidden="1"/>
    </xf>
    <xf numFmtId="0" fontId="21" fillId="0" borderId="0" xfId="0" applyFont="1" applyAlignment="1" applyProtection="1">
      <alignment horizontal="center"/>
      <protection hidden="1"/>
    </xf>
    <xf numFmtId="0" fontId="3" fillId="7" borderId="11" xfId="0" applyFont="1" applyFill="1" applyBorder="1" applyAlignment="1" applyProtection="1">
      <alignment horizontal="center"/>
      <protection hidden="1"/>
    </xf>
    <xf numFmtId="176" fontId="3" fillId="7" borderId="11" xfId="0" applyNumberFormat="1" applyFont="1" applyFill="1" applyBorder="1" applyProtection="1">
      <protection hidden="1"/>
    </xf>
    <xf numFmtId="175" fontId="3" fillId="7" borderId="11" xfId="0" applyNumberFormat="1" applyFont="1" applyFill="1" applyBorder="1" applyProtection="1">
      <protection hidden="1"/>
    </xf>
    <xf numFmtId="176" fontId="2" fillId="7" borderId="12" xfId="0" applyNumberFormat="1" applyFont="1" applyFill="1" applyBorder="1" applyProtection="1">
      <protection hidden="1"/>
    </xf>
    <xf numFmtId="176" fontId="3" fillId="7" borderId="13" xfId="0" applyNumberFormat="1" applyFont="1" applyFill="1" applyBorder="1" applyProtection="1">
      <protection hidden="1"/>
    </xf>
    <xf numFmtId="0" fontId="21" fillId="0" borderId="0" xfId="0" applyFont="1" applyProtection="1">
      <protection hidden="1"/>
    </xf>
    <xf numFmtId="14" fontId="0" fillId="0" borderId="140" xfId="0" applyNumberFormat="1" applyBorder="1" applyAlignment="1" applyProtection="1">
      <alignment horizontal="right"/>
      <protection hidden="1"/>
    </xf>
    <xf numFmtId="0" fontId="12" fillId="0" borderId="140" xfId="0" applyFont="1" applyBorder="1" applyAlignment="1" applyProtection="1">
      <alignment horizontal="right"/>
      <protection hidden="1"/>
    </xf>
    <xf numFmtId="176" fontId="3" fillId="8" borderId="140" xfId="0" applyNumberFormat="1" applyFont="1" applyFill="1" applyBorder="1" applyProtection="1">
      <protection locked="0" hidden="1"/>
    </xf>
    <xf numFmtId="176" fontId="0" fillId="8" borderId="140" xfId="0" applyNumberFormat="1" applyFill="1" applyBorder="1" applyProtection="1">
      <protection locked="0" hidden="1"/>
    </xf>
    <xf numFmtId="14" fontId="1" fillId="0" borderId="140" xfId="0" applyNumberFormat="1" applyFont="1" applyBorder="1" applyAlignment="1" applyProtection="1">
      <alignment horizontal="center" vertical="center" wrapText="1"/>
      <protection hidden="1"/>
    </xf>
    <xf numFmtId="168" fontId="1" fillId="0" borderId="140" xfId="0" applyNumberFormat="1" applyFont="1" applyBorder="1" applyAlignment="1" applyProtection="1">
      <alignment horizontal="center" vertical="center" wrapText="1"/>
      <protection hidden="1"/>
    </xf>
    <xf numFmtId="0" fontId="1" fillId="0" borderId="140" xfId="0" applyFont="1" applyBorder="1" applyAlignment="1" applyProtection="1">
      <alignment horizontal="center" vertical="center" wrapText="1"/>
      <protection hidden="1"/>
    </xf>
    <xf numFmtId="9" fontId="21" fillId="0" borderId="144" xfId="0" applyNumberFormat="1" applyFont="1" applyBorder="1" applyAlignment="1" applyProtection="1">
      <alignment horizontal="center" vertical="center" wrapText="1"/>
      <protection hidden="1"/>
    </xf>
    <xf numFmtId="43" fontId="21" fillId="0" borderId="145" xfId="0" applyNumberFormat="1" applyFont="1" applyBorder="1" applyAlignment="1" applyProtection="1">
      <alignment horizontal="center" vertical="center" wrapText="1"/>
      <protection hidden="1"/>
    </xf>
    <xf numFmtId="43" fontId="21" fillId="0" borderId="146" xfId="0" applyNumberFormat="1" applyFont="1" applyBorder="1" applyAlignment="1" applyProtection="1">
      <alignment horizontal="center" vertical="center" wrapText="1"/>
      <protection hidden="1"/>
    </xf>
    <xf numFmtId="43" fontId="21" fillId="0" borderId="147" xfId="0" applyNumberFormat="1" applyFont="1" applyBorder="1" applyAlignment="1" applyProtection="1">
      <alignment horizontal="center" vertical="center" wrapText="1"/>
      <protection hidden="1"/>
    </xf>
    <xf numFmtId="14" fontId="0" fillId="8" borderId="148" xfId="0" applyNumberFormat="1" applyFill="1" applyBorder="1" applyProtection="1">
      <protection locked="0" hidden="1"/>
    </xf>
    <xf numFmtId="173" fontId="3" fillId="0" borderId="148" xfId="0" applyNumberFormat="1" applyFont="1" applyBorder="1" applyAlignment="1" applyProtection="1">
      <alignment horizontal="center"/>
      <protection hidden="1"/>
    </xf>
    <xf numFmtId="176" fontId="0" fillId="8" borderId="148" xfId="0" applyNumberFormat="1" applyFill="1" applyBorder="1" applyAlignment="1" applyProtection="1">
      <alignment horizontal="center"/>
      <protection locked="0" hidden="1"/>
    </xf>
    <xf numFmtId="49" fontId="0" fillId="8" borderId="141" xfId="0" applyNumberFormat="1" applyFill="1" applyBorder="1" applyProtection="1">
      <protection locked="0" hidden="1"/>
    </xf>
    <xf numFmtId="49" fontId="0" fillId="8" borderId="142" xfId="0" applyNumberFormat="1" applyFill="1" applyBorder="1" applyProtection="1">
      <protection locked="0" hidden="1"/>
    </xf>
    <xf numFmtId="49" fontId="3" fillId="8" borderId="141" xfId="0" applyNumberFormat="1" applyFont="1" applyFill="1" applyBorder="1" applyProtection="1">
      <protection locked="0" hidden="1"/>
    </xf>
    <xf numFmtId="176" fontId="21" fillId="0" borderId="145" xfId="0" applyNumberFormat="1" applyFont="1" applyBorder="1" applyAlignment="1" applyProtection="1">
      <alignment horizontal="center"/>
      <protection hidden="1"/>
    </xf>
    <xf numFmtId="10" fontId="21" fillId="0" borderId="146" xfId="0" applyNumberFormat="1" applyFont="1" applyBorder="1" applyAlignment="1" applyProtection="1">
      <alignment horizontal="center"/>
      <protection hidden="1"/>
    </xf>
    <xf numFmtId="176" fontId="21" fillId="0" borderId="147" xfId="0" applyNumberFormat="1" applyFont="1" applyBorder="1" applyAlignment="1" applyProtection="1">
      <alignment horizontal="center"/>
      <protection hidden="1"/>
    </xf>
    <xf numFmtId="173" fontId="0" fillId="0" borderId="148" xfId="0" applyNumberFormat="1" applyBorder="1" applyAlignment="1" applyProtection="1">
      <alignment horizontal="center"/>
      <protection hidden="1"/>
    </xf>
    <xf numFmtId="14" fontId="3" fillId="8" borderId="148" xfId="0" applyNumberFormat="1" applyFont="1" applyFill="1" applyBorder="1" applyProtection="1">
      <protection locked="0" hidden="1"/>
    </xf>
    <xf numFmtId="49" fontId="3" fillId="8" borderId="142" xfId="0" applyNumberFormat="1" applyFont="1" applyFill="1" applyBorder="1" applyProtection="1">
      <protection locked="0" hidden="1"/>
    </xf>
    <xf numFmtId="0" fontId="0" fillId="0" borderId="149" xfId="0" applyBorder="1" applyProtection="1">
      <protection hidden="1"/>
    </xf>
    <xf numFmtId="0" fontId="22" fillId="0" borderId="0" xfId="0" applyFont="1" applyProtection="1">
      <protection hidden="1"/>
    </xf>
    <xf numFmtId="0" fontId="1" fillId="0" borderId="0" xfId="0" applyFont="1" applyAlignment="1" applyProtection="1">
      <alignment horizontal="center"/>
      <protection hidden="1"/>
    </xf>
    <xf numFmtId="0" fontId="0" fillId="8" borderId="141" xfId="0" applyFill="1" applyBorder="1" applyAlignment="1" applyProtection="1">
      <alignment horizontal="left" vertical="center"/>
      <protection locked="0"/>
    </xf>
    <xf numFmtId="0" fontId="0" fillId="8" borderId="142" xfId="0" applyFill="1" applyBorder="1" applyAlignment="1" applyProtection="1">
      <alignment horizontal="left" vertical="center"/>
      <protection locked="0"/>
    </xf>
    <xf numFmtId="0" fontId="0" fillId="0" borderId="142" xfId="0" applyBorder="1" applyAlignment="1" applyProtection="1">
      <alignment vertical="center"/>
      <protection hidden="1"/>
    </xf>
    <xf numFmtId="0" fontId="4" fillId="0" borderId="0" xfId="0" applyFont="1" applyProtection="1">
      <protection hidden="1"/>
    </xf>
    <xf numFmtId="0" fontId="4" fillId="0" borderId="0" xfId="0" applyFont="1" applyAlignment="1" applyProtection="1">
      <alignment vertical="center" wrapText="1"/>
      <protection hidden="1"/>
    </xf>
    <xf numFmtId="0" fontId="29" fillId="9" borderId="140" xfId="0" applyFont="1" applyFill="1" applyBorder="1" applyAlignment="1" applyProtection="1">
      <alignment horizontal="center"/>
      <protection hidden="1"/>
    </xf>
    <xf numFmtId="186" fontId="29" fillId="9" borderId="140" xfId="0" applyNumberFormat="1" applyFont="1" applyFill="1" applyBorder="1" applyAlignment="1" applyProtection="1">
      <alignment horizontal="center"/>
      <protection hidden="1"/>
    </xf>
    <xf numFmtId="186" fontId="4" fillId="9" borderId="140" xfId="0" applyNumberFormat="1" applyFont="1" applyFill="1" applyBorder="1" applyAlignment="1" applyProtection="1">
      <alignment horizontal="center"/>
      <protection hidden="1"/>
    </xf>
    <xf numFmtId="2" fontId="27" fillId="0" borderId="150" xfId="0" applyNumberFormat="1" applyFont="1" applyBorder="1" applyAlignment="1" applyProtection="1">
      <alignment vertical="center"/>
      <protection hidden="1"/>
    </xf>
    <xf numFmtId="2" fontId="4" fillId="9" borderId="9" xfId="0" applyNumberFormat="1" applyFont="1" applyFill="1" applyBorder="1" applyAlignment="1" applyProtection="1">
      <alignment vertical="center"/>
      <protection hidden="1"/>
    </xf>
    <xf numFmtId="176" fontId="4" fillId="0" borderId="87" xfId="0" applyNumberFormat="1" applyFont="1" applyBorder="1" applyAlignment="1" applyProtection="1">
      <alignment vertical="center"/>
      <protection hidden="1"/>
    </xf>
    <xf numFmtId="171" fontId="3" fillId="4" borderId="30" xfId="0" applyNumberFormat="1" applyFont="1" applyFill="1" applyBorder="1" applyAlignment="1" applyProtection="1">
      <alignment horizontal="right" vertical="center"/>
      <protection hidden="1"/>
    </xf>
    <xf numFmtId="171" fontId="1" fillId="4" borderId="88" xfId="0" applyNumberFormat="1" applyFont="1" applyFill="1" applyBorder="1" applyAlignment="1" applyProtection="1">
      <alignment vertical="center"/>
      <protection hidden="1"/>
    </xf>
    <xf numFmtId="171" fontId="1" fillId="4" borderId="89" xfId="0" applyNumberFormat="1" applyFont="1" applyFill="1" applyBorder="1" applyAlignment="1" applyProtection="1">
      <alignment vertical="center"/>
      <protection hidden="1"/>
    </xf>
    <xf numFmtId="171" fontId="3" fillId="5" borderId="30" xfId="0" applyNumberFormat="1" applyFont="1" applyFill="1" applyBorder="1" applyAlignment="1" applyProtection="1">
      <alignment horizontal="right" vertical="center"/>
      <protection hidden="1"/>
    </xf>
    <xf numFmtId="171" fontId="1" fillId="5" borderId="88" xfId="0" applyNumberFormat="1" applyFont="1" applyFill="1" applyBorder="1" applyAlignment="1" applyProtection="1">
      <alignment vertical="center"/>
      <protection hidden="1"/>
    </xf>
    <xf numFmtId="171" fontId="1" fillId="5" borderId="89" xfId="0" applyNumberFormat="1" applyFont="1" applyFill="1" applyBorder="1" applyAlignment="1" applyProtection="1">
      <alignment vertical="center"/>
      <protection hidden="1"/>
    </xf>
    <xf numFmtId="171" fontId="3" fillId="6" borderId="30" xfId="0" applyNumberFormat="1" applyFont="1" applyFill="1" applyBorder="1" applyAlignment="1" applyProtection="1">
      <alignment horizontal="right" vertical="center"/>
      <protection hidden="1"/>
    </xf>
    <xf numFmtId="171" fontId="1" fillId="6" borderId="88" xfId="0" applyNumberFormat="1" applyFont="1" applyFill="1" applyBorder="1" applyAlignment="1" applyProtection="1">
      <alignment vertical="center"/>
      <protection hidden="1"/>
    </xf>
    <xf numFmtId="171" fontId="1" fillId="6" borderId="89" xfId="0" applyNumberFormat="1" applyFont="1" applyFill="1" applyBorder="1" applyAlignment="1" applyProtection="1">
      <alignment vertical="center"/>
      <protection hidden="1"/>
    </xf>
    <xf numFmtId="171" fontId="3" fillId="7" borderId="35" xfId="0" applyNumberFormat="1" applyFont="1" applyFill="1" applyBorder="1" applyAlignment="1" applyProtection="1">
      <alignment horizontal="right" vertical="center"/>
      <protection hidden="1"/>
    </xf>
    <xf numFmtId="171" fontId="1" fillId="7" borderId="91" xfId="0" applyNumberFormat="1" applyFont="1" applyFill="1" applyBorder="1" applyAlignment="1" applyProtection="1">
      <alignment vertical="center"/>
      <protection hidden="1"/>
    </xf>
    <xf numFmtId="171" fontId="1" fillId="7" borderId="40" xfId="0" applyNumberFormat="1" applyFont="1" applyFill="1" applyBorder="1" applyAlignment="1" applyProtection="1">
      <alignment vertical="center"/>
      <protection hidden="1"/>
    </xf>
    <xf numFmtId="176" fontId="4" fillId="0" borderId="10" xfId="0" applyNumberFormat="1" applyFont="1" applyBorder="1" applyAlignment="1" applyProtection="1">
      <alignment vertical="center"/>
      <protection hidden="1"/>
    </xf>
    <xf numFmtId="176" fontId="4" fillId="0" borderId="9" xfId="0" applyNumberFormat="1" applyFont="1" applyBorder="1" applyAlignment="1" applyProtection="1">
      <alignment vertical="center"/>
      <protection hidden="1"/>
    </xf>
    <xf numFmtId="176" fontId="1" fillId="9" borderId="96" xfId="0" applyNumberFormat="1" applyFont="1" applyFill="1" applyBorder="1" applyAlignment="1" applyProtection="1">
      <alignment vertical="center"/>
      <protection hidden="1"/>
    </xf>
    <xf numFmtId="176" fontId="1" fillId="0" borderId="87" xfId="0" applyNumberFormat="1" applyFont="1" applyBorder="1" applyAlignment="1" applyProtection="1">
      <alignment vertical="center"/>
      <protection hidden="1"/>
    </xf>
    <xf numFmtId="176" fontId="1" fillId="9" borderId="88" xfId="0" applyNumberFormat="1" applyFont="1" applyFill="1" applyBorder="1" applyAlignment="1" applyProtection="1">
      <alignment vertical="center"/>
      <protection hidden="1"/>
    </xf>
    <xf numFmtId="176" fontId="1" fillId="0" borderId="89" xfId="0" applyNumberFormat="1" applyFont="1" applyBorder="1" applyAlignment="1" applyProtection="1">
      <alignment vertical="center"/>
      <protection hidden="1"/>
    </xf>
    <xf numFmtId="176" fontId="4" fillId="0" borderId="89" xfId="0" applyNumberFormat="1" applyFont="1" applyBorder="1" applyAlignment="1" applyProtection="1">
      <alignment vertical="center"/>
      <protection hidden="1"/>
    </xf>
    <xf numFmtId="176" fontId="1" fillId="0" borderId="40" xfId="0" applyNumberFormat="1" applyFont="1" applyBorder="1" applyAlignment="1" applyProtection="1">
      <alignment vertical="center"/>
      <protection hidden="1"/>
    </xf>
    <xf numFmtId="176" fontId="4" fillId="0" borderId="40" xfId="0" applyNumberFormat="1" applyFont="1" applyBorder="1" applyAlignment="1" applyProtection="1">
      <alignment vertical="center"/>
      <protection hidden="1"/>
    </xf>
    <xf numFmtId="171" fontId="1" fillId="0" borderId="91" xfId="0" applyNumberFormat="1" applyFont="1" applyBorder="1" applyAlignment="1" applyProtection="1">
      <alignment vertical="center"/>
      <protection hidden="1"/>
    </xf>
    <xf numFmtId="171" fontId="3" fillId="0" borderId="43" xfId="0" applyNumberFormat="1" applyFont="1" applyBorder="1" applyAlignment="1" applyProtection="1">
      <alignment vertical="center"/>
      <protection hidden="1"/>
    </xf>
    <xf numFmtId="171" fontId="3" fillId="0" borderId="40" xfId="0" applyNumberFormat="1" applyFont="1" applyBorder="1" applyAlignment="1" applyProtection="1">
      <alignment vertical="center"/>
      <protection hidden="1"/>
    </xf>
    <xf numFmtId="171" fontId="3" fillId="0" borderId="91" xfId="0" applyNumberFormat="1" applyFont="1" applyBorder="1" applyAlignment="1" applyProtection="1">
      <alignment vertical="center"/>
      <protection hidden="1"/>
    </xf>
    <xf numFmtId="171" fontId="4" fillId="0" borderId="40" xfId="0" applyNumberFormat="1" applyFont="1" applyBorder="1" applyAlignment="1" applyProtection="1">
      <alignment vertical="center"/>
      <protection hidden="1"/>
    </xf>
    <xf numFmtId="171" fontId="1" fillId="0" borderId="97" xfId="0" applyNumberFormat="1" applyFont="1" applyBorder="1" applyAlignment="1" applyProtection="1">
      <alignment vertical="center"/>
      <protection hidden="1"/>
    </xf>
    <xf numFmtId="171" fontId="3" fillId="3" borderId="30" xfId="0" applyNumberFormat="1" applyFont="1" applyFill="1" applyBorder="1" applyAlignment="1" applyProtection="1">
      <alignment horizontal="right" vertical="center"/>
      <protection hidden="1"/>
    </xf>
    <xf numFmtId="171" fontId="1" fillId="3" borderId="88" xfId="0" applyNumberFormat="1" applyFont="1" applyFill="1" applyBorder="1" applyAlignment="1" applyProtection="1">
      <alignment vertical="center"/>
      <protection hidden="1"/>
    </xf>
    <xf numFmtId="171" fontId="1" fillId="3" borderId="89" xfId="0" applyNumberFormat="1" applyFont="1" applyFill="1" applyBorder="1" applyAlignment="1" applyProtection="1">
      <alignment vertical="center"/>
      <protection hidden="1"/>
    </xf>
    <xf numFmtId="171" fontId="3" fillId="3" borderId="35" xfId="0" applyNumberFormat="1" applyFont="1" applyFill="1" applyBorder="1" applyAlignment="1" applyProtection="1">
      <alignment horizontal="right" vertical="center"/>
      <protection hidden="1"/>
    </xf>
    <xf numFmtId="171" fontId="1" fillId="3" borderId="91" xfId="0" applyNumberFormat="1" applyFont="1" applyFill="1" applyBorder="1" applyAlignment="1" applyProtection="1">
      <alignment vertical="center"/>
      <protection hidden="1"/>
    </xf>
    <xf numFmtId="171" fontId="1" fillId="3" borderId="40" xfId="0" applyNumberFormat="1" applyFont="1" applyFill="1" applyBorder="1" applyAlignment="1" applyProtection="1">
      <alignment vertical="center"/>
      <protection hidden="1"/>
    </xf>
    <xf numFmtId="171" fontId="1" fillId="7" borderId="96" xfId="0" applyNumberFormat="1" applyFont="1" applyFill="1" applyBorder="1" applyAlignment="1" applyProtection="1">
      <alignment vertical="center"/>
      <protection hidden="1"/>
    </xf>
    <xf numFmtId="171" fontId="3" fillId="3" borderId="89" xfId="0" applyNumberFormat="1" applyFont="1" applyFill="1" applyBorder="1" applyAlignment="1" applyProtection="1">
      <alignment vertical="center"/>
      <protection hidden="1"/>
    </xf>
    <xf numFmtId="171" fontId="3" fillId="3" borderId="88" xfId="0" applyNumberFormat="1" applyFont="1" applyFill="1" applyBorder="1" applyAlignment="1" applyProtection="1">
      <alignment vertical="center"/>
      <protection hidden="1"/>
    </xf>
    <xf numFmtId="171" fontId="1" fillId="7" borderId="88" xfId="0" applyNumberFormat="1" applyFont="1" applyFill="1" applyBorder="1" applyAlignment="1" applyProtection="1">
      <alignment vertical="center"/>
      <protection hidden="1"/>
    </xf>
    <xf numFmtId="171" fontId="3" fillId="3" borderId="40" xfId="0" applyNumberFormat="1" applyFont="1" applyFill="1" applyBorder="1" applyAlignment="1" applyProtection="1">
      <alignment vertical="center"/>
      <protection hidden="1"/>
    </xf>
    <xf numFmtId="171" fontId="3" fillId="3" borderId="91" xfId="0" applyNumberFormat="1" applyFont="1" applyFill="1" applyBorder="1" applyAlignment="1" applyProtection="1">
      <alignment vertical="center"/>
      <protection hidden="1"/>
    </xf>
    <xf numFmtId="171" fontId="3" fillId="11" borderId="35" xfId="0" applyNumberFormat="1" applyFont="1" applyFill="1" applyBorder="1" applyAlignment="1" applyProtection="1">
      <alignment horizontal="right" vertical="center"/>
      <protection hidden="1"/>
    </xf>
    <xf numFmtId="176" fontId="1" fillId="7" borderId="93" xfId="0" applyNumberFormat="1" applyFont="1" applyFill="1" applyBorder="1" applyAlignment="1" applyProtection="1">
      <alignment vertical="center"/>
      <protection hidden="1"/>
    </xf>
    <xf numFmtId="176" fontId="3" fillId="7" borderId="43" xfId="0" applyNumberFormat="1" applyFont="1" applyFill="1" applyBorder="1" applyAlignment="1" applyProtection="1">
      <alignment vertical="center"/>
      <protection hidden="1"/>
    </xf>
    <xf numFmtId="176" fontId="3" fillId="7" borderId="40" xfId="0" applyNumberFormat="1" applyFont="1" applyFill="1" applyBorder="1" applyAlignment="1" applyProtection="1">
      <alignment vertical="center"/>
      <protection hidden="1"/>
    </xf>
    <xf numFmtId="176" fontId="3" fillId="7" borderId="91" xfId="0" applyNumberFormat="1" applyFont="1" applyFill="1" applyBorder="1" applyAlignment="1" applyProtection="1">
      <alignment vertical="center"/>
      <protection hidden="1"/>
    </xf>
    <xf numFmtId="171" fontId="3" fillId="4" borderId="35" xfId="0" applyNumberFormat="1" applyFont="1" applyFill="1" applyBorder="1" applyAlignment="1" applyProtection="1">
      <alignment horizontal="right" vertical="center"/>
      <protection hidden="1"/>
    </xf>
    <xf numFmtId="171" fontId="1" fillId="4" borderId="91" xfId="0" applyNumberFormat="1" applyFont="1" applyFill="1" applyBorder="1" applyAlignment="1" applyProtection="1">
      <alignment vertical="center"/>
      <protection hidden="1"/>
    </xf>
    <xf numFmtId="171" fontId="1" fillId="4" borderId="40" xfId="0" applyNumberFormat="1" applyFont="1" applyFill="1" applyBorder="1" applyAlignment="1" applyProtection="1">
      <alignment vertical="center"/>
      <protection hidden="1"/>
    </xf>
    <xf numFmtId="171" fontId="3" fillId="5" borderId="35" xfId="0" applyNumberFormat="1" applyFont="1" applyFill="1" applyBorder="1" applyAlignment="1" applyProtection="1">
      <alignment horizontal="right" vertical="center"/>
      <protection hidden="1"/>
    </xf>
    <xf numFmtId="171" fontId="1" fillId="5" borderId="91" xfId="0" applyNumberFormat="1" applyFont="1" applyFill="1" applyBorder="1" applyAlignment="1" applyProtection="1">
      <alignment vertical="center"/>
      <protection hidden="1"/>
    </xf>
    <xf numFmtId="171" fontId="1" fillId="5" borderId="40" xfId="0" applyNumberFormat="1" applyFont="1" applyFill="1" applyBorder="1" applyAlignment="1" applyProtection="1">
      <alignment vertical="center"/>
      <protection hidden="1"/>
    </xf>
    <xf numFmtId="171" fontId="3" fillId="6" borderId="35" xfId="0" applyNumberFormat="1" applyFont="1" applyFill="1" applyBorder="1" applyAlignment="1" applyProtection="1">
      <alignment horizontal="right" vertical="center"/>
      <protection hidden="1"/>
    </xf>
    <xf numFmtId="171" fontId="1" fillId="6" borderId="91" xfId="0" applyNumberFormat="1" applyFont="1" applyFill="1" applyBorder="1" applyAlignment="1" applyProtection="1">
      <alignment vertical="center"/>
      <protection hidden="1"/>
    </xf>
    <xf numFmtId="171" fontId="1" fillId="6" borderId="40" xfId="0" applyNumberFormat="1" applyFont="1" applyFill="1" applyBorder="1" applyAlignment="1" applyProtection="1">
      <alignment vertical="center"/>
      <protection hidden="1"/>
    </xf>
    <xf numFmtId="171" fontId="3" fillId="7" borderId="30" xfId="0" applyNumberFormat="1" applyFont="1" applyFill="1" applyBorder="1" applyAlignment="1" applyProtection="1">
      <alignment horizontal="right" vertical="center"/>
      <protection hidden="1"/>
    </xf>
    <xf numFmtId="171" fontId="1" fillId="7" borderId="89" xfId="0" applyNumberFormat="1" applyFont="1" applyFill="1" applyBorder="1" applyAlignment="1" applyProtection="1">
      <alignment vertical="center"/>
      <protection hidden="1"/>
    </xf>
    <xf numFmtId="171" fontId="3" fillId="7" borderId="67" xfId="0" applyNumberFormat="1" applyFont="1" applyFill="1" applyBorder="1" applyAlignment="1" applyProtection="1">
      <alignment horizontal="right" vertical="center"/>
      <protection hidden="1"/>
    </xf>
    <xf numFmtId="171" fontId="1" fillId="7" borderId="98" xfId="0" applyNumberFormat="1" applyFont="1" applyFill="1" applyBorder="1" applyAlignment="1" applyProtection="1">
      <alignment vertical="center"/>
      <protection hidden="1"/>
    </xf>
    <xf numFmtId="171" fontId="3" fillId="0" borderId="63" xfId="0" applyNumberFormat="1" applyFont="1" applyBorder="1" applyAlignment="1" applyProtection="1">
      <alignment vertical="center"/>
      <protection hidden="1"/>
    </xf>
    <xf numFmtId="191" fontId="3" fillId="12" borderId="21" xfId="0" applyNumberFormat="1" applyFont="1" applyFill="1" applyBorder="1" applyAlignment="1" applyProtection="1">
      <alignment horizontal="right" vertical="center"/>
      <protection hidden="1"/>
    </xf>
    <xf numFmtId="191" fontId="3" fillId="12" borderId="106" xfId="0" applyNumberFormat="1" applyFont="1" applyFill="1" applyBorder="1" applyAlignment="1" applyProtection="1">
      <alignment horizontal="right" vertical="center"/>
      <protection hidden="1"/>
    </xf>
    <xf numFmtId="191" fontId="3" fillId="12" borderId="108" xfId="0" applyNumberFormat="1" applyFont="1" applyFill="1" applyBorder="1" applyAlignment="1" applyProtection="1">
      <alignment horizontal="right" vertical="center"/>
      <protection hidden="1"/>
    </xf>
    <xf numFmtId="171" fontId="4" fillId="3" borderId="108" xfId="0" applyNumberFormat="1" applyFont="1" applyFill="1" applyBorder="1" applyAlignment="1" applyProtection="1">
      <alignment vertical="center"/>
      <protection hidden="1"/>
    </xf>
    <xf numFmtId="191" fontId="3" fillId="12" borderId="30" xfId="0" applyNumberFormat="1" applyFont="1" applyFill="1" applyBorder="1" applyAlignment="1" applyProtection="1">
      <alignment horizontal="right" vertical="center"/>
      <protection hidden="1"/>
    </xf>
    <xf numFmtId="191" fontId="3" fillId="12" borderId="88" xfId="0" applyNumberFormat="1" applyFont="1" applyFill="1" applyBorder="1" applyAlignment="1" applyProtection="1">
      <alignment horizontal="right" vertical="center"/>
      <protection hidden="1"/>
    </xf>
    <xf numFmtId="191" fontId="3" fillId="12" borderId="89" xfId="0" applyNumberFormat="1" applyFont="1" applyFill="1" applyBorder="1" applyAlignment="1" applyProtection="1">
      <alignment horizontal="right" vertical="center"/>
      <protection hidden="1"/>
    </xf>
    <xf numFmtId="191" fontId="3" fillId="12" borderId="24" xfId="0" applyNumberFormat="1" applyFont="1" applyFill="1" applyBorder="1" applyAlignment="1" applyProtection="1">
      <alignment horizontal="right" vertical="center"/>
      <protection hidden="1"/>
    </xf>
    <xf numFmtId="191" fontId="3" fillId="12" borderId="110" xfId="0" applyNumberFormat="1" applyFont="1" applyFill="1" applyBorder="1" applyAlignment="1" applyProtection="1">
      <alignment horizontal="right" vertical="center"/>
      <protection hidden="1"/>
    </xf>
    <xf numFmtId="191" fontId="3" fillId="12" borderId="111" xfId="0" applyNumberFormat="1" applyFont="1" applyFill="1" applyBorder="1" applyAlignment="1" applyProtection="1">
      <alignment horizontal="right" vertical="center"/>
      <protection hidden="1"/>
    </xf>
    <xf numFmtId="191" fontId="3" fillId="13" borderId="30" xfId="0" applyNumberFormat="1" applyFont="1" applyFill="1" applyBorder="1" applyAlignment="1" applyProtection="1">
      <alignment horizontal="right" vertical="center"/>
      <protection hidden="1"/>
    </xf>
    <xf numFmtId="191" fontId="3" fillId="13" borderId="88" xfId="0" applyNumberFormat="1" applyFont="1" applyFill="1" applyBorder="1" applyAlignment="1" applyProtection="1">
      <alignment horizontal="right" vertical="center"/>
      <protection hidden="1"/>
    </xf>
    <xf numFmtId="191" fontId="3" fillId="13" borderId="31" xfId="0" applyNumberFormat="1" applyFont="1" applyFill="1" applyBorder="1" applyAlignment="1" applyProtection="1">
      <alignment horizontal="right" vertical="center"/>
      <protection hidden="1"/>
    </xf>
    <xf numFmtId="191" fontId="3" fillId="13" borderId="89" xfId="0" applyNumberFormat="1" applyFont="1" applyFill="1" applyBorder="1" applyAlignment="1" applyProtection="1">
      <alignment horizontal="right" vertical="center"/>
      <protection hidden="1"/>
    </xf>
    <xf numFmtId="191" fontId="3" fillId="13" borderId="67" xfId="0" applyNumberFormat="1" applyFont="1" applyFill="1" applyBorder="1" applyAlignment="1" applyProtection="1">
      <alignment horizontal="right" vertical="center"/>
      <protection hidden="1"/>
    </xf>
    <xf numFmtId="191" fontId="3" fillId="13" borderId="98" xfId="0" applyNumberFormat="1" applyFont="1" applyFill="1" applyBorder="1" applyAlignment="1" applyProtection="1">
      <alignment horizontal="right" vertical="center"/>
      <protection hidden="1"/>
    </xf>
    <xf numFmtId="191" fontId="3" fillId="13" borderId="112" xfId="0" applyNumberFormat="1" applyFont="1" applyFill="1" applyBorder="1" applyAlignment="1" applyProtection="1">
      <alignment horizontal="right" vertical="center"/>
      <protection hidden="1"/>
    </xf>
    <xf numFmtId="191" fontId="3" fillId="13" borderId="113" xfId="0" applyNumberFormat="1" applyFont="1" applyFill="1" applyBorder="1" applyAlignment="1" applyProtection="1">
      <alignment horizontal="right" vertical="center"/>
      <protection hidden="1"/>
    </xf>
    <xf numFmtId="0" fontId="17" fillId="0" borderId="0" xfId="0" applyFont="1" applyAlignment="1" applyProtection="1">
      <alignment horizontal="left" vertical="center" indent="1"/>
      <protection hidden="1"/>
    </xf>
    <xf numFmtId="0" fontId="1" fillId="0" borderId="74" xfId="0" applyFont="1" applyBorder="1" applyProtection="1">
      <protection hidden="1"/>
    </xf>
    <xf numFmtId="187" fontId="1" fillId="3" borderId="0" xfId="0" applyNumberFormat="1" applyFont="1" applyFill="1" applyAlignment="1" applyProtection="1">
      <alignment horizontal="center" vertical="center"/>
      <protection hidden="1"/>
    </xf>
    <xf numFmtId="0" fontId="22" fillId="0" borderId="0" xfId="0" quotePrefix="1" applyFont="1" applyProtection="1">
      <protection hidden="1"/>
    </xf>
    <xf numFmtId="187" fontId="1" fillId="4" borderId="0" xfId="0" applyNumberFormat="1" applyFont="1" applyFill="1" applyAlignment="1" applyProtection="1">
      <alignment horizontal="center" vertical="center"/>
      <protection hidden="1"/>
    </xf>
    <xf numFmtId="187" fontId="1" fillId="5" borderId="0" xfId="0" applyNumberFormat="1" applyFont="1" applyFill="1" applyAlignment="1" applyProtection="1">
      <alignment horizontal="center" vertical="center"/>
      <protection hidden="1"/>
    </xf>
    <xf numFmtId="187" fontId="1" fillId="6" borderId="0" xfId="0" applyNumberFormat="1" applyFont="1" applyFill="1" applyAlignment="1" applyProtection="1">
      <alignment horizontal="center" vertical="center"/>
      <protection hidden="1"/>
    </xf>
    <xf numFmtId="187" fontId="1" fillId="7" borderId="0" xfId="0" applyNumberFormat="1" applyFont="1" applyFill="1" applyAlignment="1" applyProtection="1">
      <alignment horizontal="center" vertical="center"/>
      <protection hidden="1"/>
    </xf>
    <xf numFmtId="0" fontId="22" fillId="0" borderId="0" xfId="0" applyFont="1" applyAlignment="1" applyProtection="1">
      <alignment vertical="center"/>
      <protection hidden="1"/>
    </xf>
    <xf numFmtId="171" fontId="23" fillId="0" borderId="0" xfId="0" applyNumberFormat="1" applyFont="1" applyAlignment="1" applyProtection="1">
      <alignment vertical="center"/>
      <protection hidden="1"/>
    </xf>
    <xf numFmtId="0" fontId="1" fillId="0" borderId="86" xfId="0" applyFont="1" applyBorder="1" applyAlignment="1" applyProtection="1">
      <alignment horizontal="center"/>
      <protection hidden="1"/>
    </xf>
    <xf numFmtId="189" fontId="3" fillId="3" borderId="0" xfId="0" applyNumberFormat="1" applyFont="1" applyFill="1" applyAlignment="1" applyProtection="1">
      <alignment horizontal="center" vertical="center"/>
      <protection hidden="1"/>
    </xf>
    <xf numFmtId="189" fontId="3" fillId="4" borderId="0" xfId="0" applyNumberFormat="1" applyFont="1" applyFill="1" applyAlignment="1" applyProtection="1">
      <alignment horizontal="center" vertical="center"/>
      <protection hidden="1"/>
    </xf>
    <xf numFmtId="189" fontId="3" fillId="5" borderId="0" xfId="0" applyNumberFormat="1" applyFont="1" applyFill="1" applyAlignment="1" applyProtection="1">
      <alignment horizontal="center" vertical="center"/>
      <protection hidden="1"/>
    </xf>
    <xf numFmtId="189" fontId="3" fillId="6" borderId="0" xfId="0" applyNumberFormat="1" applyFont="1" applyFill="1" applyAlignment="1" applyProtection="1">
      <alignment horizontal="center" vertical="center"/>
      <protection hidden="1"/>
    </xf>
    <xf numFmtId="189" fontId="3" fillId="7" borderId="0" xfId="0" applyNumberFormat="1" applyFont="1" applyFill="1" applyAlignment="1" applyProtection="1">
      <alignment horizontal="center" vertical="center"/>
      <protection hidden="1"/>
    </xf>
    <xf numFmtId="171" fontId="3" fillId="3" borderId="6" xfId="0" applyNumberFormat="1" applyFont="1" applyFill="1" applyBorder="1" applyAlignment="1" applyProtection="1">
      <alignment vertical="center"/>
      <protection hidden="1"/>
    </xf>
    <xf numFmtId="171" fontId="3" fillId="3" borderId="8" xfId="0" applyNumberFormat="1" applyFont="1" applyFill="1" applyBorder="1" applyAlignment="1" applyProtection="1">
      <alignment horizontal="right" vertical="center"/>
      <protection hidden="1"/>
    </xf>
    <xf numFmtId="171" fontId="3" fillId="4" borderId="6" xfId="0" applyNumberFormat="1" applyFont="1" applyFill="1" applyBorder="1" applyAlignment="1" applyProtection="1">
      <alignment vertical="center"/>
      <protection hidden="1"/>
    </xf>
    <xf numFmtId="171" fontId="3" fillId="4" borderId="8" xfId="0" applyNumberFormat="1" applyFont="1" applyFill="1" applyBorder="1" applyAlignment="1" applyProtection="1">
      <alignment vertical="center"/>
      <protection hidden="1"/>
    </xf>
    <xf numFmtId="171" fontId="3" fillId="5" borderId="6" xfId="0" applyNumberFormat="1" applyFont="1" applyFill="1" applyBorder="1" applyAlignment="1" applyProtection="1">
      <alignment vertical="center"/>
      <protection hidden="1"/>
    </xf>
    <xf numFmtId="171" fontId="3" fillId="5" borderId="8" xfId="0" applyNumberFormat="1" applyFont="1" applyFill="1" applyBorder="1" applyAlignment="1" applyProtection="1">
      <alignment vertical="center"/>
      <protection hidden="1"/>
    </xf>
    <xf numFmtId="171" fontId="3" fillId="6" borderId="6" xfId="0" applyNumberFormat="1" applyFont="1" applyFill="1" applyBorder="1" applyAlignment="1" applyProtection="1">
      <alignment vertical="center"/>
      <protection hidden="1"/>
    </xf>
    <xf numFmtId="171" fontId="3" fillId="6" borderId="8" xfId="0" applyNumberFormat="1" applyFont="1" applyFill="1" applyBorder="1" applyAlignment="1" applyProtection="1">
      <alignment vertical="center"/>
      <protection hidden="1"/>
    </xf>
    <xf numFmtId="171" fontId="3" fillId="7" borderId="6" xfId="0" applyNumberFormat="1" applyFont="1" applyFill="1" applyBorder="1" applyAlignment="1" applyProtection="1">
      <alignment vertical="center"/>
      <protection hidden="1"/>
    </xf>
    <xf numFmtId="171" fontId="3" fillId="7" borderId="8" xfId="0" applyNumberFormat="1" applyFont="1" applyFill="1" applyBorder="1" applyAlignment="1" applyProtection="1">
      <alignment vertical="center"/>
      <protection hidden="1"/>
    </xf>
    <xf numFmtId="1" fontId="22" fillId="0" borderId="0" xfId="0" applyNumberFormat="1" applyFont="1" applyAlignment="1" applyProtection="1">
      <alignment horizontal="center"/>
      <protection hidden="1"/>
    </xf>
    <xf numFmtId="0" fontId="16" fillId="0" borderId="4" xfId="0" applyFont="1" applyBorder="1" applyAlignment="1" applyProtection="1">
      <alignment vertical="center"/>
      <protection hidden="1"/>
    </xf>
    <xf numFmtId="1" fontId="12" fillId="0" borderId="71" xfId="0" applyNumberFormat="1" applyFont="1" applyBorder="1" applyProtection="1">
      <protection hidden="1"/>
    </xf>
    <xf numFmtId="1" fontId="12" fillId="0" borderId="27" xfId="0" applyNumberFormat="1" applyFont="1" applyBorder="1" applyProtection="1">
      <protection hidden="1"/>
    </xf>
    <xf numFmtId="0" fontId="3" fillId="9" borderId="0" xfId="0" applyFont="1" applyFill="1" applyAlignment="1" applyProtection="1">
      <alignment vertical="center"/>
      <protection hidden="1"/>
    </xf>
    <xf numFmtId="0" fontId="1" fillId="0" borderId="0" xfId="0" applyFont="1" applyAlignment="1" applyProtection="1">
      <alignment horizontal="center" vertical="center"/>
      <protection hidden="1"/>
    </xf>
    <xf numFmtId="0" fontId="3" fillId="9" borderId="0" xfId="0" applyFont="1" applyFill="1" applyAlignment="1" applyProtection="1">
      <alignment horizontal="centerContinuous"/>
      <protection hidden="1"/>
    </xf>
    <xf numFmtId="171" fontId="22" fillId="10" borderId="130" xfId="0" applyNumberFormat="1" applyFont="1" applyFill="1" applyBorder="1" applyAlignment="1" applyProtection="1">
      <alignment vertical="center"/>
      <protection hidden="1"/>
    </xf>
    <xf numFmtId="171" fontId="22" fillId="0" borderId="0" xfId="0" applyNumberFormat="1" applyFont="1" applyAlignment="1" applyProtection="1">
      <alignment vertical="center"/>
      <protection hidden="1"/>
    </xf>
    <xf numFmtId="49" fontId="22" fillId="0" borderId="0" xfId="0" applyNumberFormat="1" applyFont="1" applyAlignment="1" applyProtection="1">
      <alignment vertical="center"/>
      <protection hidden="1"/>
    </xf>
    <xf numFmtId="164" fontId="22" fillId="0" borderId="0" xfId="0" applyNumberFormat="1" applyFont="1" applyProtection="1">
      <protection hidden="1"/>
    </xf>
    <xf numFmtId="0" fontId="22" fillId="0" borderId="28" xfId="0" applyFont="1" applyBorder="1" applyProtection="1">
      <protection hidden="1"/>
    </xf>
    <xf numFmtId="0" fontId="3" fillId="11" borderId="13" xfId="0" applyFont="1" applyFill="1" applyBorder="1" applyAlignment="1" applyProtection="1">
      <alignment horizontal="right" vertical="center"/>
      <protection hidden="1"/>
    </xf>
    <xf numFmtId="171" fontId="3" fillId="11" borderId="127" xfId="0" applyNumberFormat="1" applyFont="1" applyFill="1" applyBorder="1" applyAlignment="1" applyProtection="1">
      <alignment vertical="center"/>
      <protection hidden="1"/>
    </xf>
    <xf numFmtId="171" fontId="3" fillId="11" borderId="128" xfId="0" applyNumberFormat="1" applyFont="1" applyFill="1" applyBorder="1" applyAlignment="1" applyProtection="1">
      <alignment vertical="center"/>
      <protection hidden="1"/>
    </xf>
    <xf numFmtId="171" fontId="3" fillId="11" borderId="129" xfId="0" applyNumberFormat="1" applyFont="1" applyFill="1" applyBorder="1" applyAlignment="1" applyProtection="1">
      <alignment vertical="center"/>
      <protection hidden="1"/>
    </xf>
    <xf numFmtId="171" fontId="3" fillId="3" borderId="33" xfId="0" applyNumberFormat="1" applyFont="1" applyFill="1" applyBorder="1" applyAlignment="1" applyProtection="1">
      <alignment vertical="center"/>
      <protection hidden="1"/>
    </xf>
    <xf numFmtId="164" fontId="3" fillId="8" borderId="29" xfId="0" applyNumberFormat="1" applyFont="1" applyFill="1" applyBorder="1" applyAlignment="1" applyProtection="1">
      <alignment vertical="center"/>
      <protection locked="0" hidden="1"/>
    </xf>
    <xf numFmtId="164" fontId="3" fillId="8" borderId="34" xfId="0" applyNumberFormat="1" applyFont="1" applyFill="1" applyBorder="1" applyAlignment="1" applyProtection="1">
      <alignment vertical="center"/>
      <protection locked="0" hidden="1"/>
    </xf>
    <xf numFmtId="164" fontId="3" fillId="8" borderId="35" xfId="0" applyNumberFormat="1" applyFont="1" applyFill="1" applyBorder="1" applyAlignment="1" applyProtection="1">
      <alignment vertical="center"/>
      <protection locked="0" hidden="1"/>
    </xf>
    <xf numFmtId="164" fontId="3" fillId="8" borderId="42" xfId="0" applyNumberFormat="1" applyFont="1" applyFill="1" applyBorder="1" applyAlignment="1" applyProtection="1">
      <alignment vertical="center"/>
      <protection locked="0" hidden="1"/>
    </xf>
    <xf numFmtId="171" fontId="3" fillId="3" borderId="39" xfId="0" applyNumberFormat="1" applyFont="1" applyFill="1" applyBorder="1" applyAlignment="1" applyProtection="1">
      <alignment vertical="center"/>
      <protection hidden="1"/>
    </xf>
    <xf numFmtId="0" fontId="3" fillId="0" borderId="52" xfId="0" applyFont="1" applyBorder="1" applyAlignment="1" applyProtection="1">
      <alignment horizontal="right" vertical="center"/>
      <protection hidden="1"/>
    </xf>
    <xf numFmtId="0" fontId="3" fillId="0" borderId="37" xfId="0" applyFont="1" applyBorder="1" applyAlignment="1" applyProtection="1">
      <alignment horizontal="right" vertical="center" wrapText="1"/>
      <protection hidden="1"/>
    </xf>
    <xf numFmtId="0" fontId="3" fillId="0" borderId="41" xfId="0" applyFont="1" applyBorder="1" applyAlignment="1" applyProtection="1">
      <alignment horizontal="right" vertical="center"/>
      <protection hidden="1"/>
    </xf>
    <xf numFmtId="171" fontId="3" fillId="0" borderId="34" xfId="0" applyNumberFormat="1" applyFont="1" applyBorder="1" applyAlignment="1" applyProtection="1">
      <alignment vertical="center"/>
      <protection hidden="1"/>
    </xf>
    <xf numFmtId="171" fontId="3" fillId="0" borderId="35" xfId="0" applyNumberFormat="1" applyFont="1" applyBorder="1" applyAlignment="1" applyProtection="1">
      <alignment vertical="center"/>
      <protection hidden="1"/>
    </xf>
    <xf numFmtId="171" fontId="3" fillId="0" borderId="42" xfId="0" applyNumberFormat="1" applyFont="1" applyBorder="1" applyAlignment="1" applyProtection="1">
      <alignment vertical="center"/>
      <protection hidden="1"/>
    </xf>
    <xf numFmtId="176" fontId="3" fillId="0" borderId="53" xfId="0" applyNumberFormat="1" applyFont="1" applyBorder="1" applyAlignment="1" applyProtection="1">
      <alignment vertical="center"/>
      <protection hidden="1"/>
    </xf>
    <xf numFmtId="164" fontId="3" fillId="8" borderId="66" xfId="0" applyNumberFormat="1" applyFont="1" applyFill="1" applyBorder="1" applyAlignment="1" applyProtection="1">
      <alignment vertical="center"/>
      <protection locked="0" hidden="1"/>
    </xf>
    <xf numFmtId="164" fontId="3" fillId="8" borderId="67" xfId="0" applyNumberFormat="1" applyFont="1" applyFill="1" applyBorder="1" applyAlignment="1" applyProtection="1">
      <alignment vertical="center"/>
      <protection locked="0" hidden="1"/>
    </xf>
    <xf numFmtId="164" fontId="3" fillId="8" borderId="68" xfId="0" applyNumberFormat="1" applyFont="1" applyFill="1" applyBorder="1" applyAlignment="1" applyProtection="1">
      <alignment vertical="center"/>
      <protection locked="0" hidden="1"/>
    </xf>
    <xf numFmtId="171" fontId="3" fillId="3" borderId="60" xfId="0" applyNumberFormat="1" applyFont="1" applyFill="1" applyBorder="1" applyAlignment="1" applyProtection="1">
      <alignment vertical="center"/>
      <protection hidden="1"/>
    </xf>
    <xf numFmtId="0" fontId="3" fillId="7" borderId="61" xfId="0" applyFont="1" applyFill="1" applyBorder="1" applyAlignment="1" applyProtection="1">
      <alignment horizontal="right" vertical="center"/>
      <protection hidden="1"/>
    </xf>
    <xf numFmtId="171" fontId="3" fillId="3" borderId="61" xfId="0" applyNumberFormat="1" applyFont="1" applyFill="1" applyBorder="1" applyAlignment="1" applyProtection="1">
      <alignment horizontal="center" vertical="center"/>
      <protection hidden="1"/>
    </xf>
    <xf numFmtId="171" fontId="3" fillId="8" borderId="62" xfId="0" applyNumberFormat="1" applyFont="1" applyFill="1" applyBorder="1" applyAlignment="1" applyProtection="1">
      <alignment vertical="center"/>
      <protection hidden="1"/>
    </xf>
    <xf numFmtId="171" fontId="3" fillId="8" borderId="63" xfId="0" applyNumberFormat="1" applyFont="1" applyFill="1" applyBorder="1" applyAlignment="1" applyProtection="1">
      <alignment vertical="center"/>
      <protection hidden="1"/>
    </xf>
    <xf numFmtId="171" fontId="3" fillId="8" borderId="64" xfId="0" applyNumberFormat="1" applyFont="1" applyFill="1" applyBorder="1" applyAlignment="1" applyProtection="1">
      <alignment vertical="center"/>
      <protection hidden="1"/>
    </xf>
    <xf numFmtId="0" fontId="3" fillId="7" borderId="0" xfId="0" applyFont="1" applyFill="1" applyAlignment="1" applyProtection="1">
      <alignment vertical="center"/>
      <protection hidden="1"/>
    </xf>
    <xf numFmtId="167" fontId="3" fillId="7" borderId="0" xfId="0" applyNumberFormat="1" applyFont="1" applyFill="1" applyAlignment="1" applyProtection="1">
      <alignment horizontal="left" vertical="center"/>
      <protection hidden="1"/>
    </xf>
    <xf numFmtId="0" fontId="3" fillId="7" borderId="0" xfId="0" applyFont="1" applyFill="1" applyAlignment="1" applyProtection="1">
      <alignment horizontal="centerContinuous" vertical="center"/>
      <protection hidden="1"/>
    </xf>
    <xf numFmtId="0" fontId="3" fillId="3" borderId="71" xfId="0" applyFont="1" applyFill="1" applyBorder="1" applyAlignment="1" applyProtection="1">
      <alignment vertical="center"/>
      <protection hidden="1"/>
    </xf>
    <xf numFmtId="0" fontId="3" fillId="3" borderId="99" xfId="0" applyFont="1" applyFill="1" applyBorder="1" applyAlignment="1" applyProtection="1">
      <alignment vertical="center"/>
      <protection hidden="1"/>
    </xf>
    <xf numFmtId="0" fontId="3" fillId="3" borderId="100" xfId="0" applyFont="1" applyFill="1" applyBorder="1" applyAlignment="1" applyProtection="1">
      <alignment vertical="center"/>
      <protection hidden="1"/>
    </xf>
    <xf numFmtId="0" fontId="3" fillId="0" borderId="71" xfId="0" applyFont="1" applyBorder="1" applyAlignment="1" applyProtection="1">
      <alignment vertical="center"/>
      <protection hidden="1"/>
    </xf>
    <xf numFmtId="0" fontId="3" fillId="0" borderId="99" xfId="0" applyFont="1" applyBorder="1" applyAlignment="1" applyProtection="1">
      <alignment vertical="center"/>
      <protection hidden="1"/>
    </xf>
    <xf numFmtId="0" fontId="3" fillId="0" borderId="100" xfId="0" applyFont="1" applyBorder="1" applyAlignment="1" applyProtection="1">
      <alignment vertical="center"/>
      <protection hidden="1"/>
    </xf>
    <xf numFmtId="14" fontId="3" fillId="0" borderId="99" xfId="0" applyNumberFormat="1" applyFont="1" applyBorder="1" applyAlignment="1" applyProtection="1">
      <alignment horizontal="centerContinuous"/>
      <protection hidden="1"/>
    </xf>
    <xf numFmtId="1" fontId="3" fillId="8" borderId="29" xfId="0" applyNumberFormat="1" applyFont="1" applyFill="1" applyBorder="1" applyAlignment="1" applyProtection="1">
      <alignment vertical="center"/>
      <protection locked="0" hidden="1"/>
    </xf>
    <xf numFmtId="1" fontId="3" fillId="8" borderId="30" xfId="0" applyNumberFormat="1" applyFont="1" applyFill="1" applyBorder="1" applyAlignment="1" applyProtection="1">
      <alignment vertical="center"/>
      <protection locked="0" hidden="1"/>
    </xf>
    <xf numFmtId="1" fontId="3" fillId="8" borderId="51" xfId="0" applyNumberFormat="1" applyFont="1" applyFill="1" applyBorder="1" applyAlignment="1" applyProtection="1">
      <alignment vertical="center"/>
      <protection locked="0" hidden="1"/>
    </xf>
    <xf numFmtId="1" fontId="3" fillId="8" borderId="109" xfId="0" applyNumberFormat="1" applyFont="1" applyFill="1" applyBorder="1" applyAlignment="1" applyProtection="1">
      <alignment vertical="center"/>
      <protection locked="0" hidden="1"/>
    </xf>
    <xf numFmtId="1" fontId="3" fillId="8" borderId="24" xfId="0" applyNumberFormat="1" applyFont="1" applyFill="1" applyBorder="1" applyAlignment="1" applyProtection="1">
      <alignment vertical="center"/>
      <protection locked="0" hidden="1"/>
    </xf>
    <xf numFmtId="1" fontId="3" fillId="8" borderId="25" xfId="0" applyNumberFormat="1" applyFont="1" applyFill="1" applyBorder="1" applyAlignment="1" applyProtection="1">
      <alignment vertical="center"/>
      <protection locked="0" hidden="1"/>
    </xf>
    <xf numFmtId="1" fontId="3" fillId="8" borderId="66" xfId="0" applyNumberFormat="1" applyFont="1" applyFill="1" applyBorder="1" applyAlignment="1" applyProtection="1">
      <alignment vertical="center"/>
      <protection locked="0" hidden="1"/>
    </xf>
    <xf numFmtId="1" fontId="3" fillId="8" borderId="67" xfId="0" applyNumberFormat="1" applyFont="1" applyFill="1" applyBorder="1" applyAlignment="1" applyProtection="1">
      <alignment vertical="center"/>
      <protection locked="0" hidden="1"/>
    </xf>
    <xf numFmtId="1" fontId="3" fillId="8" borderId="68" xfId="0" applyNumberFormat="1" applyFont="1" applyFill="1" applyBorder="1" applyAlignment="1" applyProtection="1">
      <alignment vertical="center"/>
      <protection locked="0" hidden="1"/>
    </xf>
    <xf numFmtId="0" fontId="3" fillId="11" borderId="40" xfId="0" applyFont="1" applyFill="1" applyBorder="1" applyAlignment="1" applyProtection="1">
      <alignment horizontal="right" vertical="center"/>
      <protection hidden="1"/>
    </xf>
    <xf numFmtId="171" fontId="3" fillId="3" borderId="41" xfId="0" applyNumberFormat="1" applyFont="1" applyFill="1" applyBorder="1" applyAlignment="1" applyProtection="1">
      <alignment horizontal="center" vertical="center"/>
      <protection hidden="1"/>
    </xf>
    <xf numFmtId="171" fontId="3" fillId="11" borderId="34" xfId="0" applyNumberFormat="1" applyFont="1" applyFill="1" applyBorder="1" applyAlignment="1" applyProtection="1">
      <alignment vertical="center"/>
      <protection hidden="1"/>
    </xf>
    <xf numFmtId="171" fontId="3" fillId="11" borderId="35" xfId="0" applyNumberFormat="1" applyFont="1" applyFill="1" applyBorder="1" applyAlignment="1" applyProtection="1">
      <alignment vertical="center"/>
      <protection hidden="1"/>
    </xf>
    <xf numFmtId="171" fontId="3" fillId="11" borderId="42" xfId="0" applyNumberFormat="1" applyFont="1" applyFill="1" applyBorder="1" applyAlignment="1" applyProtection="1">
      <alignment vertical="center"/>
      <protection hidden="1"/>
    </xf>
    <xf numFmtId="0" fontId="3" fillId="7" borderId="72" xfId="0" applyFont="1" applyFill="1" applyBorder="1" applyAlignment="1" applyProtection="1">
      <alignment horizontal="right" vertical="center"/>
      <protection hidden="1"/>
    </xf>
    <xf numFmtId="167" fontId="3" fillId="7" borderId="46" xfId="0" applyNumberFormat="1" applyFont="1" applyFill="1" applyBorder="1" applyAlignment="1" applyProtection="1">
      <alignment horizontal="left" vertical="center"/>
      <protection hidden="1"/>
    </xf>
    <xf numFmtId="0" fontId="3" fillId="7" borderId="46" xfId="0" applyFont="1" applyFill="1" applyBorder="1" applyAlignment="1" applyProtection="1">
      <alignment vertical="center"/>
      <protection hidden="1"/>
    </xf>
    <xf numFmtId="0" fontId="10" fillId="3" borderId="1" xfId="0" applyFont="1" applyFill="1" applyBorder="1" applyAlignment="1">
      <alignment horizontal="left" vertical="center"/>
    </xf>
    <xf numFmtId="0" fontId="10" fillId="3" borderId="1" xfId="0" applyFont="1" applyFill="1" applyBorder="1" applyAlignment="1">
      <alignment vertical="center"/>
    </xf>
    <xf numFmtId="2" fontId="1" fillId="3" borderId="151" xfId="0" applyNumberFormat="1" applyFont="1" applyFill="1" applyBorder="1" applyAlignment="1" applyProtection="1">
      <alignment vertical="center"/>
      <protection hidden="1"/>
    </xf>
    <xf numFmtId="171" fontId="3" fillId="3" borderId="154" xfId="0" applyNumberFormat="1" applyFont="1" applyFill="1" applyBorder="1" applyAlignment="1" applyProtection="1">
      <alignment horizontal="right" vertical="center"/>
      <protection hidden="1"/>
    </xf>
    <xf numFmtId="171" fontId="1" fillId="3" borderId="155" xfId="0" applyNumberFormat="1" applyFont="1" applyFill="1" applyBorder="1" applyAlignment="1" applyProtection="1">
      <alignment vertical="center"/>
      <protection hidden="1"/>
    </xf>
    <xf numFmtId="171" fontId="1" fillId="3" borderId="151" xfId="0" applyNumberFormat="1" applyFont="1" applyFill="1" applyBorder="1" applyAlignment="1" applyProtection="1">
      <alignment vertical="center"/>
      <protection hidden="1"/>
    </xf>
    <xf numFmtId="171" fontId="3" fillId="0" borderId="154" xfId="0" applyNumberFormat="1" applyFont="1" applyBorder="1" applyAlignment="1" applyProtection="1">
      <alignment horizontal="right" vertical="center"/>
      <protection hidden="1"/>
    </xf>
    <xf numFmtId="171" fontId="27" fillId="0" borderId="150" xfId="0" applyNumberFormat="1" applyFont="1" applyBorder="1" applyAlignment="1" applyProtection="1">
      <alignment horizontal="right" vertical="center"/>
      <protection hidden="1"/>
    </xf>
    <xf numFmtId="171" fontId="3" fillId="0" borderId="156" xfId="0" applyNumberFormat="1" applyFont="1" applyBorder="1" applyAlignment="1" applyProtection="1">
      <alignment vertical="center"/>
      <protection hidden="1"/>
    </xf>
    <xf numFmtId="171" fontId="3" fillId="0" borderId="151" xfId="0" applyNumberFormat="1" applyFont="1" applyBorder="1" applyAlignment="1" applyProtection="1">
      <alignment vertical="center"/>
      <protection hidden="1"/>
    </xf>
    <xf numFmtId="171" fontId="3" fillId="0" borderId="155" xfId="0" applyNumberFormat="1" applyFont="1" applyBorder="1" applyAlignment="1" applyProtection="1">
      <alignment vertical="center"/>
      <protection hidden="1"/>
    </xf>
    <xf numFmtId="171" fontId="4" fillId="0" borderId="151" xfId="0" applyNumberFormat="1" applyFont="1" applyBorder="1" applyAlignment="1" applyProtection="1">
      <alignment vertical="center"/>
      <protection hidden="1"/>
    </xf>
    <xf numFmtId="171" fontId="4" fillId="3" borderId="151" xfId="0" applyNumberFormat="1" applyFont="1" applyFill="1" applyBorder="1" applyAlignment="1" applyProtection="1">
      <alignment vertical="center"/>
      <protection hidden="1"/>
    </xf>
    <xf numFmtId="171" fontId="3" fillId="11" borderId="154" xfId="0" applyNumberFormat="1" applyFont="1" applyFill="1" applyBorder="1" applyAlignment="1" applyProtection="1">
      <alignment horizontal="right" vertical="center"/>
      <protection hidden="1"/>
    </xf>
    <xf numFmtId="171" fontId="1" fillId="7" borderId="155" xfId="0" applyNumberFormat="1" applyFont="1" applyFill="1" applyBorder="1" applyAlignment="1" applyProtection="1">
      <alignment vertical="center"/>
      <protection hidden="1"/>
    </xf>
    <xf numFmtId="176" fontId="3" fillId="7" borderId="156" xfId="0" applyNumberFormat="1" applyFont="1" applyFill="1" applyBorder="1" applyAlignment="1" applyProtection="1">
      <alignment vertical="center"/>
      <protection hidden="1"/>
    </xf>
    <xf numFmtId="176" fontId="3" fillId="7" borderId="151" xfId="0" applyNumberFormat="1" applyFont="1" applyFill="1" applyBorder="1" applyAlignment="1" applyProtection="1">
      <alignment vertical="center"/>
      <protection hidden="1"/>
    </xf>
    <xf numFmtId="176" fontId="3" fillId="7" borderId="155" xfId="0" applyNumberFormat="1" applyFont="1" applyFill="1" applyBorder="1" applyAlignment="1" applyProtection="1">
      <alignment vertical="center"/>
      <protection hidden="1"/>
    </xf>
    <xf numFmtId="171" fontId="1" fillId="4" borderId="155" xfId="0" applyNumberFormat="1" applyFont="1" applyFill="1" applyBorder="1" applyAlignment="1" applyProtection="1">
      <alignment vertical="center"/>
      <protection hidden="1"/>
    </xf>
    <xf numFmtId="171" fontId="1" fillId="4" borderId="151" xfId="0" applyNumberFormat="1" applyFont="1" applyFill="1" applyBorder="1" applyAlignment="1" applyProtection="1">
      <alignment vertical="center"/>
      <protection hidden="1"/>
    </xf>
    <xf numFmtId="171" fontId="3" fillId="5" borderId="154" xfId="0" applyNumberFormat="1" applyFont="1" applyFill="1" applyBorder="1" applyAlignment="1" applyProtection="1">
      <alignment horizontal="right" vertical="center"/>
      <protection hidden="1"/>
    </xf>
    <xf numFmtId="171" fontId="1" fillId="5" borderId="155" xfId="0" applyNumberFormat="1" applyFont="1" applyFill="1" applyBorder="1" applyAlignment="1" applyProtection="1">
      <alignment vertical="center"/>
      <protection hidden="1"/>
    </xf>
    <xf numFmtId="171" fontId="1" fillId="5" borderId="151" xfId="0" applyNumberFormat="1" applyFont="1" applyFill="1" applyBorder="1" applyAlignment="1" applyProtection="1">
      <alignment vertical="center"/>
      <protection hidden="1"/>
    </xf>
    <xf numFmtId="171" fontId="3" fillId="6" borderId="154" xfId="0" applyNumberFormat="1" applyFont="1" applyFill="1" applyBorder="1" applyAlignment="1" applyProtection="1">
      <alignment horizontal="right" vertical="center"/>
      <protection hidden="1"/>
    </xf>
    <xf numFmtId="171" fontId="1" fillId="6" borderId="155" xfId="0" applyNumberFormat="1" applyFont="1" applyFill="1" applyBorder="1" applyAlignment="1" applyProtection="1">
      <alignment vertical="center"/>
      <protection hidden="1"/>
    </xf>
    <xf numFmtId="171" fontId="1" fillId="6" borderId="151" xfId="0" applyNumberFormat="1" applyFont="1" applyFill="1" applyBorder="1" applyAlignment="1" applyProtection="1">
      <alignment vertical="center"/>
      <protection hidden="1"/>
    </xf>
    <xf numFmtId="171" fontId="3" fillId="7" borderId="154" xfId="0" applyNumberFormat="1" applyFont="1" applyFill="1" applyBorder="1" applyAlignment="1" applyProtection="1">
      <alignment horizontal="right" vertical="center"/>
      <protection hidden="1"/>
    </xf>
    <xf numFmtId="171" fontId="1" fillId="7" borderId="151" xfId="0" applyNumberFormat="1" applyFont="1" applyFill="1" applyBorder="1" applyAlignment="1" applyProtection="1">
      <alignment vertical="center"/>
      <protection hidden="1"/>
    </xf>
    <xf numFmtId="171" fontId="3" fillId="3" borderId="157" xfId="0" applyNumberFormat="1" applyFont="1" applyFill="1" applyBorder="1" applyAlignment="1" applyProtection="1">
      <alignment vertical="center"/>
      <protection hidden="1"/>
    </xf>
    <xf numFmtId="171" fontId="3" fillId="3" borderId="158" xfId="0" applyNumberFormat="1" applyFont="1" applyFill="1" applyBorder="1" applyAlignment="1" applyProtection="1">
      <alignment vertical="center"/>
      <protection hidden="1"/>
    </xf>
    <xf numFmtId="171" fontId="3" fillId="3" borderId="159" xfId="0" applyNumberFormat="1" applyFont="1" applyFill="1" applyBorder="1" applyAlignment="1" applyProtection="1">
      <alignment vertical="center"/>
      <protection hidden="1"/>
    </xf>
    <xf numFmtId="0" fontId="3" fillId="13" borderId="152" xfId="0" applyFont="1" applyFill="1" applyBorder="1" applyAlignment="1" applyProtection="1">
      <alignment horizontal="left" vertical="center"/>
      <protection hidden="1"/>
    </xf>
    <xf numFmtId="191" fontId="3" fillId="13" borderId="154" xfId="0" applyNumberFormat="1" applyFont="1" applyFill="1" applyBorder="1" applyAlignment="1" applyProtection="1">
      <alignment horizontal="right" vertical="center"/>
      <protection hidden="1"/>
    </xf>
    <xf numFmtId="191" fontId="3" fillId="13" borderId="155" xfId="0" applyNumberFormat="1" applyFont="1" applyFill="1" applyBorder="1" applyAlignment="1" applyProtection="1">
      <alignment horizontal="right" vertical="center"/>
      <protection hidden="1"/>
    </xf>
    <xf numFmtId="191" fontId="3" fillId="13" borderId="156" xfId="0" applyNumberFormat="1" applyFont="1" applyFill="1" applyBorder="1" applyAlignment="1" applyProtection="1">
      <alignment horizontal="right" vertical="center"/>
      <protection hidden="1"/>
    </xf>
    <xf numFmtId="191" fontId="3" fillId="13" borderId="151" xfId="0" applyNumberFormat="1" applyFont="1" applyFill="1" applyBorder="1" applyAlignment="1" applyProtection="1">
      <alignment horizontal="right" vertical="center"/>
      <protection hidden="1"/>
    </xf>
    <xf numFmtId="171" fontId="4" fillId="3" borderId="158" xfId="0" applyNumberFormat="1" applyFont="1" applyFill="1" applyBorder="1" applyAlignment="1" applyProtection="1">
      <alignment vertical="center"/>
      <protection hidden="1"/>
    </xf>
    <xf numFmtId="0" fontId="0" fillId="0" borderId="141" xfId="0" applyBorder="1" applyAlignment="1" applyProtection="1">
      <alignment horizontal="right" vertical="center"/>
      <protection hidden="1"/>
    </xf>
    <xf numFmtId="0" fontId="1" fillId="0" borderId="143" xfId="0" applyFont="1" applyBorder="1" applyAlignment="1" applyProtection="1">
      <alignment horizontal="left" vertical="center"/>
      <protection hidden="1"/>
    </xf>
    <xf numFmtId="171" fontId="1" fillId="0" borderId="141" xfId="0" applyNumberFormat="1" applyFont="1" applyBorder="1" applyAlignment="1" applyProtection="1">
      <alignment horizontal="right" vertical="center"/>
      <protection hidden="1"/>
    </xf>
    <xf numFmtId="171" fontId="57" fillId="0" borderId="141" xfId="0" applyNumberFormat="1" applyFont="1" applyBorder="1" applyAlignment="1" applyProtection="1">
      <alignment horizontal="right" vertical="center"/>
      <protection hidden="1"/>
    </xf>
    <xf numFmtId="0" fontId="21" fillId="0" borderId="142" xfId="0" applyFont="1" applyBorder="1" applyAlignment="1" applyProtection="1">
      <alignment vertical="center"/>
      <protection hidden="1"/>
    </xf>
    <xf numFmtId="171" fontId="1" fillId="0" borderId="141" xfId="0" applyNumberFormat="1" applyFont="1" applyBorder="1" applyAlignment="1" applyProtection="1">
      <alignment vertical="center"/>
      <protection hidden="1"/>
    </xf>
    <xf numFmtId="171" fontId="57" fillId="0" borderId="141" xfId="0" applyNumberFormat="1" applyFont="1" applyBorder="1" applyAlignment="1" applyProtection="1">
      <alignment vertical="center"/>
      <protection hidden="1"/>
    </xf>
    <xf numFmtId="0" fontId="17" fillId="0" borderId="160" xfId="0" applyFont="1" applyBorder="1" applyAlignment="1" applyProtection="1">
      <alignment horizontal="left" vertical="center" indent="1"/>
      <protection hidden="1"/>
    </xf>
    <xf numFmtId="0" fontId="0" fillId="0" borderId="160" xfId="0" applyBorder="1" applyProtection="1">
      <protection hidden="1"/>
    </xf>
    <xf numFmtId="171" fontId="3" fillId="3" borderId="161" xfId="0" applyNumberFormat="1" applyFont="1" applyFill="1" applyBorder="1" applyAlignment="1" applyProtection="1">
      <alignment vertical="center"/>
      <protection hidden="1"/>
    </xf>
    <xf numFmtId="190" fontId="0" fillId="3" borderId="143" xfId="0" applyNumberFormat="1" applyFill="1" applyBorder="1" applyAlignment="1" applyProtection="1">
      <alignment horizontal="center"/>
      <protection hidden="1"/>
    </xf>
    <xf numFmtId="0" fontId="0" fillId="0" borderId="143" xfId="0" applyBorder="1" applyAlignment="1" applyProtection="1">
      <alignment horizontal="center"/>
      <protection hidden="1"/>
    </xf>
    <xf numFmtId="171" fontId="3" fillId="3" borderId="143" xfId="0" applyNumberFormat="1" applyFont="1" applyFill="1" applyBorder="1" applyAlignment="1" applyProtection="1">
      <alignment horizontal="right" vertical="center"/>
      <protection hidden="1"/>
    </xf>
    <xf numFmtId="0" fontId="0" fillId="0" borderId="143" xfId="0" applyBorder="1" applyAlignment="1" applyProtection="1">
      <alignment horizontal="left" indent="1"/>
      <protection hidden="1"/>
    </xf>
    <xf numFmtId="190" fontId="0" fillId="8" borderId="143" xfId="0" applyNumberFormat="1" applyFill="1" applyBorder="1" applyAlignment="1" applyProtection="1">
      <alignment horizontal="center"/>
      <protection locked="0" hidden="1"/>
    </xf>
    <xf numFmtId="0" fontId="0" fillId="0" borderId="162" xfId="0" applyBorder="1" applyProtection="1">
      <protection hidden="1"/>
    </xf>
    <xf numFmtId="0" fontId="0" fillId="0" borderId="163" xfId="0" applyBorder="1" applyAlignment="1" applyProtection="1">
      <alignment horizontal="center"/>
      <protection hidden="1"/>
    </xf>
    <xf numFmtId="171" fontId="3" fillId="3" borderId="163" xfId="0" applyNumberFormat="1" applyFont="1" applyFill="1" applyBorder="1" applyAlignment="1" applyProtection="1">
      <alignment horizontal="right" vertical="center"/>
      <protection hidden="1"/>
    </xf>
    <xf numFmtId="0" fontId="0" fillId="0" borderId="163" xfId="0" applyBorder="1" applyAlignment="1" applyProtection="1">
      <alignment horizontal="left" indent="1"/>
      <protection hidden="1"/>
    </xf>
    <xf numFmtId="190" fontId="0" fillId="8" borderId="163" xfId="0" applyNumberFormat="1" applyFill="1" applyBorder="1" applyAlignment="1" applyProtection="1">
      <alignment horizontal="center"/>
      <protection locked="0" hidden="1"/>
    </xf>
    <xf numFmtId="0" fontId="0" fillId="8" borderId="164" xfId="0" applyFill="1" applyBorder="1" applyAlignment="1" applyProtection="1">
      <alignment shrinkToFit="1"/>
      <protection locked="0" hidden="1"/>
    </xf>
    <xf numFmtId="171" fontId="3" fillId="4" borderId="161" xfId="0" applyNumberFormat="1" applyFont="1" applyFill="1" applyBorder="1" applyAlignment="1" applyProtection="1">
      <alignment vertical="center"/>
      <protection hidden="1"/>
    </xf>
    <xf numFmtId="190" fontId="0" fillId="4" borderId="143" xfId="0" applyNumberFormat="1" applyFill="1" applyBorder="1" applyAlignment="1" applyProtection="1">
      <alignment horizontal="center"/>
      <protection hidden="1"/>
    </xf>
    <xf numFmtId="171" fontId="3" fillId="4" borderId="143" xfId="0" applyNumberFormat="1" applyFont="1" applyFill="1" applyBorder="1" applyAlignment="1" applyProtection="1">
      <alignment vertical="center"/>
      <protection hidden="1"/>
    </xf>
    <xf numFmtId="190" fontId="0" fillId="4" borderId="163" xfId="0" applyNumberFormat="1" applyFill="1" applyBorder="1" applyAlignment="1" applyProtection="1">
      <alignment horizontal="center"/>
      <protection hidden="1"/>
    </xf>
    <xf numFmtId="171" fontId="3" fillId="5" borderId="161" xfId="0" applyNumberFormat="1" applyFont="1" applyFill="1" applyBorder="1" applyAlignment="1" applyProtection="1">
      <alignment vertical="center"/>
      <protection hidden="1"/>
    </xf>
    <xf numFmtId="190" fontId="0" fillId="5" borderId="143" xfId="0" applyNumberFormat="1" applyFill="1" applyBorder="1" applyAlignment="1" applyProtection="1">
      <alignment horizontal="center"/>
      <protection hidden="1"/>
    </xf>
    <xf numFmtId="171" fontId="3" fillId="5" borderId="143" xfId="0" applyNumberFormat="1" applyFont="1" applyFill="1" applyBorder="1" applyAlignment="1" applyProtection="1">
      <alignment vertical="center"/>
      <protection hidden="1"/>
    </xf>
    <xf numFmtId="171" fontId="3" fillId="5" borderId="157" xfId="0" applyNumberFormat="1" applyFont="1" applyFill="1" applyBorder="1" applyAlignment="1" applyProtection="1">
      <alignment vertical="center"/>
      <protection hidden="1"/>
    </xf>
    <xf numFmtId="190" fontId="0" fillId="5" borderId="163" xfId="0" applyNumberFormat="1" applyFill="1" applyBorder="1" applyAlignment="1" applyProtection="1">
      <alignment horizontal="center"/>
      <protection hidden="1"/>
    </xf>
    <xf numFmtId="171" fontId="3" fillId="5" borderId="163" xfId="0" applyNumberFormat="1" applyFont="1" applyFill="1" applyBorder="1" applyAlignment="1" applyProtection="1">
      <alignment vertical="center"/>
      <protection hidden="1"/>
    </xf>
    <xf numFmtId="171" fontId="3" fillId="6" borderId="161" xfId="0" applyNumberFormat="1" applyFont="1" applyFill="1" applyBorder="1" applyAlignment="1" applyProtection="1">
      <alignment vertical="center"/>
      <protection hidden="1"/>
    </xf>
    <xf numFmtId="190" fontId="0" fillId="6" borderId="143" xfId="0" applyNumberFormat="1" applyFill="1" applyBorder="1" applyAlignment="1" applyProtection="1">
      <alignment horizontal="center"/>
      <protection hidden="1"/>
    </xf>
    <xf numFmtId="171" fontId="3" fillId="6" borderId="143" xfId="0" applyNumberFormat="1" applyFont="1" applyFill="1" applyBorder="1" applyAlignment="1" applyProtection="1">
      <alignment vertical="center"/>
      <protection hidden="1"/>
    </xf>
    <xf numFmtId="171" fontId="3" fillId="6" borderId="157" xfId="0" applyNumberFormat="1" applyFont="1" applyFill="1" applyBorder="1" applyAlignment="1" applyProtection="1">
      <alignment vertical="center"/>
      <protection hidden="1"/>
    </xf>
    <xf numFmtId="190" fontId="0" fillId="6" borderId="163" xfId="0" applyNumberFormat="1" applyFill="1" applyBorder="1" applyAlignment="1" applyProtection="1">
      <alignment horizontal="center"/>
      <protection hidden="1"/>
    </xf>
    <xf numFmtId="171" fontId="3" fillId="6" borderId="163" xfId="0" applyNumberFormat="1" applyFont="1" applyFill="1" applyBorder="1" applyAlignment="1" applyProtection="1">
      <alignment vertical="center"/>
      <protection hidden="1"/>
    </xf>
    <xf numFmtId="171" fontId="3" fillId="7" borderId="161" xfId="0" applyNumberFormat="1" applyFont="1" applyFill="1" applyBorder="1" applyAlignment="1" applyProtection="1">
      <alignment vertical="center"/>
      <protection hidden="1"/>
    </xf>
    <xf numFmtId="190" fontId="0" fillId="7" borderId="143" xfId="0" applyNumberFormat="1" applyFill="1" applyBorder="1" applyAlignment="1" applyProtection="1">
      <alignment horizontal="center"/>
      <protection hidden="1"/>
    </xf>
    <xf numFmtId="171" fontId="3" fillId="7" borderId="143" xfId="0" applyNumberFormat="1" applyFont="1" applyFill="1" applyBorder="1" applyAlignment="1" applyProtection="1">
      <alignment vertical="center"/>
      <protection hidden="1"/>
    </xf>
    <xf numFmtId="171" fontId="3" fillId="7" borderId="157" xfId="0" applyNumberFormat="1" applyFont="1" applyFill="1" applyBorder="1" applyAlignment="1" applyProtection="1">
      <alignment vertical="center"/>
      <protection hidden="1"/>
    </xf>
    <xf numFmtId="190" fontId="0" fillId="7" borderId="163" xfId="0" applyNumberFormat="1" applyFill="1" applyBorder="1" applyAlignment="1" applyProtection="1">
      <alignment horizontal="center"/>
      <protection hidden="1"/>
    </xf>
    <xf numFmtId="171" fontId="3" fillId="7" borderId="163" xfId="0" applyNumberFormat="1" applyFont="1" applyFill="1" applyBorder="1" applyAlignment="1" applyProtection="1">
      <alignment vertical="center"/>
      <protection hidden="1"/>
    </xf>
    <xf numFmtId="164" fontId="27" fillId="8" borderId="165" xfId="0" applyNumberFormat="1" applyFont="1" applyFill="1" applyBorder="1" applyAlignment="1" applyProtection="1">
      <alignment vertical="center"/>
      <protection locked="0" hidden="1"/>
    </xf>
    <xf numFmtId="164" fontId="27" fillId="8" borderId="154" xfId="0" applyNumberFormat="1" applyFont="1" applyFill="1" applyBorder="1" applyAlignment="1" applyProtection="1">
      <alignment vertical="center"/>
      <protection locked="0" hidden="1"/>
    </xf>
    <xf numFmtId="164" fontId="27" fillId="8" borderId="166" xfId="0" applyNumberFormat="1" applyFont="1" applyFill="1" applyBorder="1" applyAlignment="1" applyProtection="1">
      <alignment vertical="center"/>
      <protection locked="0" hidden="1"/>
    </xf>
    <xf numFmtId="171" fontId="37" fillId="0" borderId="167" xfId="0" applyNumberFormat="1" applyFont="1" applyBorder="1" applyAlignment="1" applyProtection="1">
      <alignment vertical="center"/>
      <protection hidden="1"/>
    </xf>
    <xf numFmtId="171" fontId="37" fillId="0" borderId="154" xfId="0" applyNumberFormat="1" applyFont="1" applyBorder="1" applyAlignment="1" applyProtection="1">
      <alignment vertical="center"/>
      <protection hidden="1"/>
    </xf>
    <xf numFmtId="171" fontId="37" fillId="0" borderId="166" xfId="0" applyNumberFormat="1" applyFont="1" applyBorder="1" applyAlignment="1" applyProtection="1">
      <alignment vertical="center"/>
      <protection hidden="1"/>
    </xf>
    <xf numFmtId="176" fontId="3" fillId="0" borderId="156" xfId="0" applyNumberFormat="1" applyFont="1" applyBorder="1" applyAlignment="1" applyProtection="1">
      <alignment vertical="center"/>
      <protection hidden="1"/>
    </xf>
    <xf numFmtId="176" fontId="37" fillId="0" borderId="153" xfId="0" applyNumberFormat="1" applyFont="1" applyBorder="1" applyAlignment="1" applyProtection="1">
      <alignment vertical="center"/>
      <protection hidden="1"/>
    </xf>
    <xf numFmtId="0" fontId="23" fillId="10" borderId="168" xfId="0" applyFont="1" applyFill="1" applyBorder="1" applyAlignment="1" applyProtection="1">
      <alignment horizontal="right" vertical="center"/>
      <protection hidden="1"/>
    </xf>
    <xf numFmtId="171" fontId="22" fillId="10" borderId="169" xfId="0" applyNumberFormat="1" applyFont="1" applyFill="1" applyBorder="1" applyAlignment="1" applyProtection="1">
      <alignment vertical="center"/>
      <protection hidden="1"/>
    </xf>
    <xf numFmtId="171" fontId="22" fillId="10" borderId="170" xfId="0" applyNumberFormat="1" applyFont="1" applyFill="1" applyBorder="1" applyAlignment="1" applyProtection="1">
      <alignment vertical="center"/>
      <protection hidden="1"/>
    </xf>
    <xf numFmtId="171" fontId="22" fillId="10" borderId="171" xfId="0" applyNumberFormat="1" applyFont="1" applyFill="1" applyBorder="1" applyAlignment="1" applyProtection="1">
      <alignment vertical="center"/>
      <protection hidden="1"/>
    </xf>
    <xf numFmtId="164" fontId="3" fillId="10" borderId="161" xfId="0" applyNumberFormat="1" applyFont="1" applyFill="1" applyBorder="1" applyAlignment="1" applyProtection="1">
      <alignment horizontal="right" vertical="center"/>
      <protection hidden="1"/>
    </xf>
    <xf numFmtId="0" fontId="3" fillId="7" borderId="151" xfId="0" applyFont="1" applyFill="1" applyBorder="1" applyAlignment="1" applyProtection="1">
      <alignment horizontal="right" vertical="center"/>
      <protection hidden="1"/>
    </xf>
    <xf numFmtId="171" fontId="3" fillId="3" borderId="172" xfId="0" quotePrefix="1" applyNumberFormat="1" applyFont="1" applyFill="1" applyBorder="1" applyAlignment="1" applyProtection="1">
      <alignment horizontal="center" vertical="center"/>
      <protection hidden="1"/>
    </xf>
    <xf numFmtId="164" fontId="27" fillId="0" borderId="167" xfId="0" applyNumberFormat="1" applyFont="1" applyBorder="1" applyAlignment="1" applyProtection="1">
      <alignment vertical="center"/>
      <protection hidden="1"/>
    </xf>
    <xf numFmtId="164" fontId="27" fillId="0" borderId="154" xfId="0" applyNumberFormat="1" applyFont="1" applyBorder="1" applyAlignment="1" applyProtection="1">
      <alignment vertical="center"/>
      <protection hidden="1"/>
    </xf>
    <xf numFmtId="164" fontId="27" fillId="0" borderId="166" xfId="0" applyNumberFormat="1" applyFont="1" applyBorder="1" applyAlignment="1" applyProtection="1">
      <alignment vertical="center"/>
      <protection hidden="1"/>
    </xf>
    <xf numFmtId="171" fontId="3" fillId="7" borderId="156" xfId="0" applyNumberFormat="1" applyFont="1" applyFill="1" applyBorder="1" applyAlignment="1" applyProtection="1">
      <alignment vertical="center"/>
      <protection hidden="1"/>
    </xf>
    <xf numFmtId="171" fontId="3" fillId="3" borderId="153" xfId="0" applyNumberFormat="1" applyFont="1" applyFill="1" applyBorder="1" applyAlignment="1" applyProtection="1">
      <alignment vertical="center"/>
      <protection hidden="1"/>
    </xf>
    <xf numFmtId="0" fontId="3" fillId="0" borderId="172" xfId="0" applyFont="1" applyBorder="1" applyAlignment="1" applyProtection="1">
      <alignment horizontal="right" vertical="center"/>
      <protection hidden="1"/>
    </xf>
    <xf numFmtId="171" fontId="3" fillId="0" borderId="167" xfId="0" applyNumberFormat="1" applyFont="1" applyBorder="1" applyAlignment="1" applyProtection="1">
      <alignment vertical="center"/>
      <protection hidden="1"/>
    </xf>
    <xf numFmtId="171" fontId="3" fillId="0" borderId="154" xfId="0" applyNumberFormat="1" applyFont="1" applyBorder="1" applyAlignment="1" applyProtection="1">
      <alignment vertical="center"/>
      <protection hidden="1"/>
    </xf>
    <xf numFmtId="171" fontId="3" fillId="0" borderId="166" xfId="0" applyNumberFormat="1" applyFont="1" applyBorder="1" applyAlignment="1" applyProtection="1">
      <alignment vertical="center"/>
      <protection hidden="1"/>
    </xf>
    <xf numFmtId="176" fontId="3" fillId="0" borderId="153" xfId="0" applyNumberFormat="1" applyFont="1" applyBorder="1" applyAlignment="1" applyProtection="1">
      <alignment vertical="center"/>
      <protection hidden="1"/>
    </xf>
    <xf numFmtId="0" fontId="4" fillId="0" borderId="173" xfId="0" applyFont="1" applyBorder="1" applyAlignment="1" applyProtection="1">
      <alignment vertical="center"/>
      <protection hidden="1"/>
    </xf>
    <xf numFmtId="0" fontId="3" fillId="4" borderId="152" xfId="0" applyFont="1" applyFill="1" applyBorder="1" applyAlignment="1" applyProtection="1">
      <alignment vertical="center"/>
      <protection hidden="1"/>
    </xf>
    <xf numFmtId="0" fontId="3" fillId="4" borderId="172" xfId="0" applyFont="1" applyFill="1" applyBorder="1" applyAlignment="1" applyProtection="1">
      <alignment vertical="center"/>
      <protection hidden="1"/>
    </xf>
    <xf numFmtId="164" fontId="3" fillId="8" borderId="167" xfId="0" applyNumberFormat="1" applyFont="1" applyFill="1" applyBorder="1" applyAlignment="1" applyProtection="1">
      <alignment vertical="center"/>
      <protection locked="0" hidden="1"/>
    </xf>
    <xf numFmtId="164" fontId="3" fillId="8" borderId="154" xfId="0" applyNumberFormat="1" applyFont="1" applyFill="1" applyBorder="1" applyAlignment="1" applyProtection="1">
      <alignment vertical="center"/>
      <protection locked="0" hidden="1"/>
    </xf>
    <xf numFmtId="164" fontId="3" fillId="8" borderId="166" xfId="0" applyNumberFormat="1" applyFont="1" applyFill="1" applyBorder="1" applyAlignment="1" applyProtection="1">
      <alignment vertical="center"/>
      <protection locked="0" hidden="1"/>
    </xf>
    <xf numFmtId="171" fontId="3" fillId="4" borderId="156" xfId="0" applyNumberFormat="1" applyFont="1" applyFill="1" applyBorder="1" applyAlignment="1" applyProtection="1">
      <alignment vertical="center"/>
      <protection hidden="1"/>
    </xf>
    <xf numFmtId="0" fontId="3" fillId="5" borderId="152" xfId="0" applyFont="1" applyFill="1" applyBorder="1" applyAlignment="1" applyProtection="1">
      <alignment vertical="center"/>
      <protection hidden="1"/>
    </xf>
    <xf numFmtId="0" fontId="3" fillId="5" borderId="172" xfId="0" applyFont="1" applyFill="1" applyBorder="1" applyAlignment="1" applyProtection="1">
      <alignment vertical="center"/>
      <protection hidden="1"/>
    </xf>
    <xf numFmtId="171" fontId="3" fillId="5" borderId="156" xfId="0" applyNumberFormat="1" applyFont="1" applyFill="1" applyBorder="1" applyAlignment="1" applyProtection="1">
      <alignment vertical="center"/>
      <protection hidden="1"/>
    </xf>
    <xf numFmtId="0" fontId="3" fillId="6" borderId="152" xfId="0" applyFont="1" applyFill="1" applyBorder="1" applyAlignment="1" applyProtection="1">
      <alignment vertical="center"/>
      <protection hidden="1"/>
    </xf>
    <xf numFmtId="0" fontId="3" fillId="6" borderId="172" xfId="0" applyFont="1" applyFill="1" applyBorder="1" applyAlignment="1" applyProtection="1">
      <alignment vertical="center"/>
      <protection hidden="1"/>
    </xf>
    <xf numFmtId="171" fontId="3" fillId="6" borderId="156" xfId="0" applyNumberFormat="1" applyFont="1" applyFill="1" applyBorder="1" applyAlignment="1" applyProtection="1">
      <alignment vertical="center"/>
      <protection hidden="1"/>
    </xf>
    <xf numFmtId="0" fontId="3" fillId="7" borderId="152" xfId="0" applyFont="1" applyFill="1" applyBorder="1" applyAlignment="1" applyProtection="1">
      <alignment vertical="center"/>
      <protection hidden="1"/>
    </xf>
    <xf numFmtId="0" fontId="3" fillId="7" borderId="172" xfId="0" applyFont="1" applyFill="1" applyBorder="1" applyAlignment="1" applyProtection="1">
      <alignment vertical="center"/>
      <protection hidden="1"/>
    </xf>
    <xf numFmtId="171" fontId="3" fillId="7" borderId="158" xfId="0" applyNumberFormat="1" applyFont="1" applyFill="1" applyBorder="1" applyAlignment="1" applyProtection="1">
      <alignment vertical="center"/>
      <protection hidden="1"/>
    </xf>
    <xf numFmtId="1" fontId="3" fillId="12" borderId="156" xfId="0" applyNumberFormat="1" applyFont="1" applyFill="1" applyBorder="1" applyAlignment="1" applyProtection="1">
      <alignment vertical="center"/>
      <protection hidden="1"/>
    </xf>
    <xf numFmtId="0" fontId="3" fillId="13" borderId="172" xfId="0" applyFont="1" applyFill="1" applyBorder="1" applyAlignment="1" applyProtection="1">
      <alignment vertical="center"/>
      <protection hidden="1"/>
    </xf>
    <xf numFmtId="1" fontId="3" fillId="8" borderId="167" xfId="0" applyNumberFormat="1" applyFont="1" applyFill="1" applyBorder="1" applyAlignment="1" applyProtection="1">
      <alignment vertical="center"/>
      <protection locked="0" hidden="1"/>
    </xf>
    <xf numFmtId="1" fontId="3" fillId="8" borderId="154" xfId="0" applyNumberFormat="1" applyFont="1" applyFill="1" applyBorder="1" applyAlignment="1" applyProtection="1">
      <alignment vertical="center"/>
      <protection locked="0" hidden="1"/>
    </xf>
    <xf numFmtId="1" fontId="3" fillId="8" borderId="166" xfId="0" applyNumberFormat="1" applyFont="1" applyFill="1" applyBorder="1" applyAlignment="1" applyProtection="1">
      <alignment vertical="center"/>
      <protection locked="0" hidden="1"/>
    </xf>
    <xf numFmtId="1" fontId="3" fillId="13" borderId="156" xfId="0" applyNumberFormat="1" applyFont="1" applyFill="1" applyBorder="1" applyAlignment="1" applyProtection="1">
      <alignment vertical="center"/>
      <protection hidden="1"/>
    </xf>
    <xf numFmtId="1" fontId="54" fillId="0" borderId="141" xfId="4" applyNumberFormat="1" applyFont="1" applyBorder="1" applyAlignment="1" applyProtection="1">
      <alignment vertical="center"/>
      <protection locked="0"/>
    </xf>
    <xf numFmtId="178" fontId="12" fillId="0" borderId="143" xfId="4" applyFont="1" applyBorder="1" applyAlignment="1" applyProtection="1">
      <alignment horizontal="right" vertical="center"/>
      <protection locked="0"/>
    </xf>
    <xf numFmtId="182" fontId="54" fillId="0" borderId="143" xfId="1" applyNumberFormat="1" applyFont="1" applyBorder="1" applyAlignment="1" applyProtection="1">
      <protection locked="0"/>
    </xf>
    <xf numFmtId="2" fontId="54" fillId="0" borderId="142" xfId="4" applyNumberFormat="1" applyFont="1" applyBorder="1" applyAlignment="1" applyProtection="1">
      <alignment horizontal="right"/>
      <protection locked="0"/>
    </xf>
    <xf numFmtId="182" fontId="54" fillId="0" borderId="142" xfId="1" applyNumberFormat="1" applyFont="1" applyBorder="1" applyAlignment="1" applyProtection="1">
      <alignment vertical="center"/>
      <protection locked="0"/>
    </xf>
    <xf numFmtId="171" fontId="3" fillId="8" borderId="174" xfId="0" applyNumberFormat="1" applyFont="1" applyFill="1" applyBorder="1" applyAlignment="1">
      <alignment vertical="center"/>
    </xf>
    <xf numFmtId="171" fontId="3" fillId="8" borderId="151" xfId="0" applyNumberFormat="1" applyFont="1" applyFill="1" applyBorder="1" applyAlignment="1">
      <alignment vertical="center"/>
    </xf>
    <xf numFmtId="171" fontId="3" fillId="8" borderId="155" xfId="0" applyNumberFormat="1" applyFont="1" applyFill="1" applyBorder="1" applyAlignment="1">
      <alignment vertical="center"/>
    </xf>
    <xf numFmtId="0" fontId="0" fillId="15" borderId="141" xfId="0" applyFill="1" applyBorder="1"/>
    <xf numFmtId="0" fontId="0" fillId="15" borderId="142" xfId="0" applyFill="1" applyBorder="1"/>
    <xf numFmtId="49" fontId="3" fillId="7" borderId="139" xfId="0" applyNumberFormat="1" applyFont="1" applyFill="1" applyBorder="1" applyAlignment="1">
      <alignment horizontal="right"/>
    </xf>
    <xf numFmtId="0" fontId="0" fillId="7" borderId="139" xfId="0" applyFill="1" applyBorder="1" applyAlignment="1">
      <alignment horizontal="center" vertical="center" wrapText="1"/>
    </xf>
    <xf numFmtId="0" fontId="3" fillId="7" borderId="141" xfId="0" applyFont="1" applyFill="1" applyBorder="1"/>
    <xf numFmtId="0" fontId="7" fillId="7" borderId="143" xfId="0" applyFont="1" applyFill="1" applyBorder="1"/>
    <xf numFmtId="2" fontId="0" fillId="9" borderId="142" xfId="0" quotePrefix="1" applyNumberFormat="1" applyFill="1" applyBorder="1" applyAlignment="1">
      <alignment wrapText="1"/>
    </xf>
    <xf numFmtId="49" fontId="3" fillId="14" borderId="139" xfId="0" applyNumberFormat="1" applyFont="1" applyFill="1" applyBorder="1" applyAlignment="1" applyProtection="1">
      <alignment horizontal="right"/>
      <protection locked="0"/>
    </xf>
    <xf numFmtId="14" fontId="0" fillId="7" borderId="175" xfId="0" applyNumberFormat="1" applyFill="1" applyBorder="1" applyAlignment="1">
      <alignment horizontal="right"/>
    </xf>
    <xf numFmtId="14" fontId="0" fillId="0" borderId="175" xfId="0" applyNumberFormat="1" applyBorder="1" applyAlignment="1">
      <alignment horizontal="right"/>
    </xf>
    <xf numFmtId="14" fontId="0" fillId="0" borderId="176" xfId="0" applyNumberFormat="1" applyBorder="1" applyAlignment="1">
      <alignment horizontal="right"/>
    </xf>
    <xf numFmtId="20" fontId="0" fillId="0" borderId="151" xfId="0" applyNumberFormat="1" applyBorder="1"/>
    <xf numFmtId="0" fontId="3" fillId="15" borderId="141" xfId="0" applyFont="1" applyFill="1" applyBorder="1" applyAlignment="1">
      <alignment horizontal="right" vertical="center"/>
    </xf>
    <xf numFmtId="0" fontId="0" fillId="15" borderId="143" xfId="0" applyFill="1" applyBorder="1" applyAlignment="1">
      <alignment horizontal="right" vertical="center"/>
    </xf>
    <xf numFmtId="0" fontId="3" fillId="15" borderId="143" xfId="0" applyFont="1" applyFill="1" applyBorder="1" applyAlignment="1">
      <alignment horizontal="center" vertical="center"/>
    </xf>
    <xf numFmtId="0" fontId="0" fillId="15" borderId="143" xfId="0" applyFill="1" applyBorder="1" applyAlignment="1">
      <alignment horizontal="right" vertical="center" wrapText="1"/>
    </xf>
    <xf numFmtId="0" fontId="0" fillId="15" borderId="142" xfId="0" applyFill="1" applyBorder="1" applyAlignment="1">
      <alignment horizontal="right" vertical="center"/>
    </xf>
    <xf numFmtId="0" fontId="1" fillId="7" borderId="139" xfId="0" applyFont="1" applyFill="1" applyBorder="1"/>
    <xf numFmtId="0" fontId="0" fillId="7" borderId="141" xfId="0" applyFill="1" applyBorder="1"/>
    <xf numFmtId="0" fontId="0" fillId="7" borderId="142" xfId="0" applyFill="1" applyBorder="1"/>
    <xf numFmtId="0" fontId="3" fillId="7" borderId="141" xfId="0" applyFont="1" applyFill="1" applyBorder="1" applyAlignment="1">
      <alignment horizontal="right" vertical="center"/>
    </xf>
    <xf numFmtId="0" fontId="0" fillId="7" borderId="143" xfId="0" applyFill="1" applyBorder="1" applyAlignment="1">
      <alignment horizontal="right" vertical="center"/>
    </xf>
    <xf numFmtId="0" fontId="3" fillId="7" borderId="143" xfId="0" applyFont="1" applyFill="1" applyBorder="1" applyAlignment="1">
      <alignment horizontal="center" vertical="center"/>
    </xf>
    <xf numFmtId="0" fontId="0" fillId="7" borderId="143" xfId="0" applyFill="1" applyBorder="1" applyAlignment="1">
      <alignment horizontal="right" vertical="center" wrapText="1"/>
    </xf>
    <xf numFmtId="0" fontId="0" fillId="7" borderId="142" xfId="0" applyFill="1" applyBorder="1" applyAlignment="1">
      <alignment horizontal="right" vertical="center"/>
    </xf>
    <xf numFmtId="0" fontId="0" fillId="7" borderId="142" xfId="0" applyFill="1" applyBorder="1" applyAlignment="1">
      <alignment horizontal="right"/>
    </xf>
    <xf numFmtId="0" fontId="3" fillId="15" borderId="141" xfId="0" applyFont="1" applyFill="1" applyBorder="1"/>
    <xf numFmtId="0" fontId="3" fillId="15" borderId="143" xfId="0" applyFont="1" applyFill="1" applyBorder="1" applyAlignment="1">
      <alignment horizontal="right"/>
    </xf>
    <xf numFmtId="43" fontId="3" fillId="15" borderId="142" xfId="0" applyNumberFormat="1" applyFont="1" applyFill="1" applyBorder="1" applyAlignment="1">
      <alignment horizontal="center"/>
    </xf>
    <xf numFmtId="174" fontId="0" fillId="15" borderId="141" xfId="0" applyNumberFormat="1" applyFill="1" applyBorder="1"/>
    <xf numFmtId="0" fontId="0" fillId="15" borderId="143" xfId="0" applyFill="1" applyBorder="1"/>
    <xf numFmtId="164" fontId="3" fillId="9" borderId="140" xfId="0" applyNumberFormat="1" applyFont="1" applyFill="1" applyBorder="1" applyAlignment="1" applyProtection="1">
      <alignment vertical="center"/>
      <protection hidden="1"/>
    </xf>
    <xf numFmtId="171" fontId="3" fillId="8" borderId="140" xfId="0" applyNumberFormat="1" applyFont="1" applyFill="1" applyBorder="1" applyAlignment="1">
      <alignment vertical="center"/>
    </xf>
    <xf numFmtId="0" fontId="0" fillId="14" borderId="140" xfId="0" applyFill="1" applyBorder="1" applyAlignment="1" applyProtection="1">
      <alignment horizontal="center"/>
      <protection locked="0"/>
    </xf>
    <xf numFmtId="176" fontId="3" fillId="7" borderId="140" xfId="0" applyNumberFormat="1" applyFont="1" applyFill="1" applyBorder="1"/>
    <xf numFmtId="176" fontId="0" fillId="9" borderId="140" xfId="0" applyNumberFormat="1" applyFill="1" applyBorder="1"/>
    <xf numFmtId="0" fontId="0" fillId="7" borderId="140" xfId="0" applyFill="1" applyBorder="1" applyAlignment="1">
      <alignment horizontal="right"/>
    </xf>
    <xf numFmtId="14" fontId="0" fillId="15" borderId="140" xfId="0" applyNumberFormat="1" applyFill="1" applyBorder="1" applyAlignment="1">
      <alignment horizontal="right"/>
    </xf>
    <xf numFmtId="0" fontId="12" fillId="15" borderId="140" xfId="0" applyFont="1" applyFill="1" applyBorder="1" applyAlignment="1">
      <alignment horizontal="right"/>
    </xf>
    <xf numFmtId="20" fontId="0" fillId="0" borderId="140" xfId="0" applyNumberFormat="1" applyBorder="1"/>
    <xf numFmtId="14" fontId="3" fillId="15" borderId="140" xfId="0" applyNumberFormat="1" applyFont="1" applyFill="1" applyBorder="1" applyProtection="1">
      <protection locked="0"/>
    </xf>
    <xf numFmtId="176" fontId="3" fillId="15" borderId="140" xfId="0" applyNumberFormat="1" applyFont="1" applyFill="1" applyBorder="1"/>
    <xf numFmtId="176" fontId="3" fillId="15" borderId="140" xfId="0" applyNumberFormat="1" applyFont="1" applyFill="1" applyBorder="1" applyProtection="1">
      <protection locked="0"/>
    </xf>
    <xf numFmtId="14" fontId="0" fillId="15" borderId="140" xfId="0" applyNumberFormat="1" applyFill="1" applyBorder="1" applyProtection="1">
      <protection locked="0"/>
    </xf>
    <xf numFmtId="176" fontId="17" fillId="15" borderId="140" xfId="0" applyNumberFormat="1" applyFont="1" applyFill="1" applyBorder="1"/>
    <xf numFmtId="176" fontId="0" fillId="15" borderId="140" xfId="0" applyNumberFormat="1" applyFill="1" applyBorder="1" applyProtection="1">
      <protection locked="0"/>
    </xf>
    <xf numFmtId="176" fontId="0" fillId="15" borderId="140" xfId="0" applyNumberFormat="1" applyFill="1" applyBorder="1"/>
    <xf numFmtId="0" fontId="0" fillId="15" borderId="140" xfId="0" applyFill="1" applyBorder="1" applyAlignment="1">
      <alignment horizontal="center" vertical="center" wrapText="1"/>
    </xf>
    <xf numFmtId="14" fontId="3" fillId="15" borderId="140" xfId="0" applyNumberFormat="1" applyFont="1" applyFill="1" applyBorder="1" applyAlignment="1">
      <alignment horizontal="right"/>
    </xf>
    <xf numFmtId="168" fontId="3" fillId="15" borderId="140" xfId="0" applyNumberFormat="1" applyFont="1" applyFill="1" applyBorder="1" applyAlignment="1">
      <alignment horizontal="right"/>
    </xf>
    <xf numFmtId="0" fontId="3" fillId="15" borderId="140" xfId="0" applyFont="1" applyFill="1" applyBorder="1"/>
    <xf numFmtId="9" fontId="3" fillId="15" borderId="140" xfId="0" applyNumberFormat="1" applyFont="1" applyFill="1" applyBorder="1" applyAlignment="1">
      <alignment horizontal="center"/>
    </xf>
    <xf numFmtId="43" fontId="3" fillId="15" borderId="140" xfId="0" applyNumberFormat="1" applyFont="1" applyFill="1" applyBorder="1" applyAlignment="1">
      <alignment horizontal="center"/>
    </xf>
    <xf numFmtId="14" fontId="0" fillId="15" borderId="140" xfId="0" applyNumberFormat="1" applyFill="1" applyBorder="1"/>
    <xf numFmtId="173" fontId="0" fillId="15" borderId="140" xfId="0" applyNumberFormat="1" applyFill="1" applyBorder="1" applyAlignment="1">
      <alignment horizontal="center"/>
    </xf>
    <xf numFmtId="176" fontId="0" fillId="15" borderId="140" xfId="0" applyNumberFormat="1" applyFill="1" applyBorder="1" applyAlignment="1">
      <alignment horizontal="center"/>
    </xf>
    <xf numFmtId="10" fontId="0" fillId="15" borderId="140" xfId="0" applyNumberFormat="1" applyFill="1" applyBorder="1" applyAlignment="1">
      <alignment horizontal="center"/>
    </xf>
    <xf numFmtId="0" fontId="0" fillId="10" borderId="140" xfId="0" quotePrefix="1" applyFill="1" applyBorder="1" applyAlignment="1">
      <alignment vertical="center" wrapText="1"/>
    </xf>
    <xf numFmtId="0" fontId="1" fillId="0" borderId="139" xfId="0" applyFont="1" applyBorder="1" applyAlignment="1" applyProtection="1">
      <alignment horizontal="left" vertical="top" wrapText="1"/>
      <protection hidden="1"/>
    </xf>
    <xf numFmtId="0" fontId="1" fillId="0" borderId="10" xfId="0" applyFont="1" applyBorder="1" applyAlignment="1" applyProtection="1">
      <alignment horizontal="left" vertical="top" wrapText="1"/>
      <protection hidden="1"/>
    </xf>
    <xf numFmtId="0" fontId="1" fillId="0" borderId="13" xfId="0" applyFont="1" applyBorder="1" applyAlignment="1" applyProtection="1">
      <alignment horizontal="left" vertical="top" wrapText="1"/>
      <protection hidden="1"/>
    </xf>
    <xf numFmtId="0" fontId="0" fillId="0" borderId="0" xfId="0" applyAlignment="1" applyProtection="1">
      <alignment horizontal="center"/>
      <protection hidden="1"/>
    </xf>
    <xf numFmtId="0" fontId="0" fillId="0" borderId="9" xfId="0" applyBorder="1" applyAlignment="1" applyProtection="1">
      <alignment horizontal="center"/>
      <protection hidden="1"/>
    </xf>
    <xf numFmtId="0" fontId="0" fillId="8" borderId="141" xfId="0" applyFill="1" applyBorder="1" applyAlignment="1" applyProtection="1">
      <alignment horizontal="left"/>
      <protection hidden="1"/>
    </xf>
    <xf numFmtId="0" fontId="0" fillId="8" borderId="143" xfId="0" applyFill="1" applyBorder="1" applyAlignment="1" applyProtection="1">
      <alignment horizontal="left"/>
      <protection hidden="1"/>
    </xf>
    <xf numFmtId="0" fontId="0" fillId="8" borderId="142" xfId="0" applyFill="1" applyBorder="1" applyAlignment="1" applyProtection="1">
      <alignment horizontal="left"/>
      <protection hidden="1"/>
    </xf>
    <xf numFmtId="0" fontId="3" fillId="8" borderId="141" xfId="0" applyFont="1" applyFill="1" applyBorder="1" applyAlignment="1" applyProtection="1">
      <alignment horizontal="left"/>
      <protection locked="0" hidden="1"/>
    </xf>
    <xf numFmtId="0" fontId="3" fillId="8" borderId="143" xfId="0" applyFont="1" applyFill="1" applyBorder="1" applyAlignment="1" applyProtection="1">
      <alignment horizontal="left"/>
      <protection locked="0" hidden="1"/>
    </xf>
    <xf numFmtId="0" fontId="3" fillId="8" borderId="142" xfId="0" applyFont="1" applyFill="1" applyBorder="1" applyAlignment="1" applyProtection="1">
      <alignment horizontal="left"/>
      <protection locked="0" hidden="1"/>
    </xf>
    <xf numFmtId="49" fontId="0" fillId="8" borderId="141" xfId="0" applyNumberFormat="1" applyFill="1" applyBorder="1" applyProtection="1">
      <protection locked="0" hidden="1"/>
    </xf>
    <xf numFmtId="49" fontId="0" fillId="8" borderId="142" xfId="0" applyNumberFormat="1" applyFill="1" applyBorder="1" applyProtection="1">
      <protection locked="0" hidden="1"/>
    </xf>
    <xf numFmtId="0" fontId="1" fillId="0" borderId="141" xfId="0" applyFont="1" applyBorder="1" applyAlignment="1" applyProtection="1">
      <alignment horizontal="center" vertical="center" wrapText="1"/>
      <protection hidden="1"/>
    </xf>
    <xf numFmtId="0" fontId="1" fillId="0" borderId="142" xfId="0" applyFont="1" applyBorder="1" applyAlignment="1" applyProtection="1">
      <alignment horizontal="center" vertical="center" wrapText="1"/>
      <protection hidden="1"/>
    </xf>
    <xf numFmtId="0" fontId="0" fillId="8" borderId="141" xfId="0" applyFill="1" applyBorder="1" applyAlignment="1" applyProtection="1">
      <alignment horizontal="left" vertical="center"/>
      <protection locked="0"/>
    </xf>
    <xf numFmtId="0" fontId="0" fillId="8" borderId="142" xfId="0" applyFill="1" applyBorder="1" applyAlignment="1" applyProtection="1">
      <alignment horizontal="left" vertical="center"/>
      <protection locked="0"/>
    </xf>
    <xf numFmtId="0" fontId="0" fillId="0" borderId="141" xfId="0" applyBorder="1" applyAlignment="1" applyProtection="1">
      <alignment vertical="center"/>
      <protection hidden="1"/>
    </xf>
    <xf numFmtId="0" fontId="0" fillId="0" borderId="142" xfId="0" applyBorder="1" applyAlignment="1" applyProtection="1">
      <alignment vertical="center"/>
      <protection hidden="1"/>
    </xf>
    <xf numFmtId="0" fontId="1" fillId="13" borderId="140" xfId="0" applyFont="1" applyFill="1" applyBorder="1" applyAlignment="1" applyProtection="1">
      <alignment horizontal="center"/>
      <protection hidden="1"/>
    </xf>
    <xf numFmtId="0" fontId="1" fillId="3" borderId="140" xfId="0" applyFont="1" applyFill="1" applyBorder="1" applyAlignment="1" applyProtection="1">
      <alignment horizontal="center"/>
      <protection hidden="1"/>
    </xf>
    <xf numFmtId="0" fontId="1" fillId="12" borderId="140" xfId="0" applyFont="1" applyFill="1" applyBorder="1" applyAlignment="1" applyProtection="1">
      <alignment horizontal="center"/>
      <protection hidden="1"/>
    </xf>
    <xf numFmtId="0" fontId="3" fillId="7" borderId="140" xfId="0" applyFont="1" applyFill="1" applyBorder="1" applyAlignment="1" applyProtection="1">
      <alignment horizontal="center"/>
      <protection hidden="1"/>
    </xf>
    <xf numFmtId="0" fontId="1" fillId="8" borderId="141" xfId="0" applyFont="1" applyFill="1" applyBorder="1" applyAlignment="1" applyProtection="1">
      <alignment horizontal="center" vertical="center"/>
      <protection locked="0" hidden="1"/>
    </xf>
    <xf numFmtId="0" fontId="1" fillId="8" borderId="142" xfId="0" applyFont="1" applyFill="1" applyBorder="1" applyAlignment="1" applyProtection="1">
      <alignment horizontal="center" vertical="center"/>
      <protection locked="0" hidden="1"/>
    </xf>
    <xf numFmtId="0" fontId="3" fillId="4" borderId="140" xfId="0" applyFont="1" applyFill="1" applyBorder="1" applyAlignment="1" applyProtection="1">
      <alignment horizontal="center"/>
      <protection hidden="1"/>
    </xf>
    <xf numFmtId="0" fontId="3" fillId="6" borderId="140" xfId="0" applyFont="1" applyFill="1" applyBorder="1" applyAlignment="1" applyProtection="1">
      <alignment horizontal="center"/>
      <protection hidden="1"/>
    </xf>
    <xf numFmtId="0" fontId="3" fillId="5" borderId="140" xfId="0" applyFont="1" applyFill="1" applyBorder="1" applyAlignment="1" applyProtection="1">
      <alignment horizontal="center"/>
      <protection hidden="1"/>
    </xf>
    <xf numFmtId="0" fontId="3" fillId="13" borderId="56" xfId="0" applyFont="1" applyFill="1" applyBorder="1" applyAlignment="1" applyProtection="1">
      <alignment horizontal="left" vertical="center"/>
      <protection hidden="1"/>
    </xf>
    <xf numFmtId="0" fontId="3" fillId="13" borderId="32" xfId="0" applyFont="1" applyFill="1" applyBorder="1" applyAlignment="1" applyProtection="1">
      <alignment horizontal="left" vertical="center"/>
      <protection hidden="1"/>
    </xf>
    <xf numFmtId="0" fontId="3" fillId="13" borderId="58" xfId="0" applyFont="1" applyFill="1" applyBorder="1" applyAlignment="1" applyProtection="1">
      <alignment horizontal="left" vertical="center"/>
      <protection hidden="1"/>
    </xf>
    <xf numFmtId="0" fontId="3" fillId="13" borderId="132" xfId="0" applyFont="1" applyFill="1" applyBorder="1" applyAlignment="1" applyProtection="1">
      <alignment horizontal="left" vertical="center"/>
      <protection hidden="1"/>
    </xf>
    <xf numFmtId="0" fontId="3" fillId="13" borderId="152" xfId="0" applyFont="1" applyFill="1" applyBorder="1" applyAlignment="1" applyProtection="1">
      <alignment horizontal="left" vertical="center"/>
      <protection hidden="1"/>
    </xf>
    <xf numFmtId="0" fontId="3" fillId="13" borderId="153" xfId="0" applyFont="1" applyFill="1" applyBorder="1" applyAlignment="1" applyProtection="1">
      <alignment horizontal="left" vertical="center"/>
      <protection hidden="1"/>
    </xf>
    <xf numFmtId="0" fontId="3" fillId="12" borderId="56" xfId="0" applyFont="1" applyFill="1" applyBorder="1" applyAlignment="1" applyProtection="1">
      <alignment horizontal="left" vertical="center"/>
      <protection hidden="1"/>
    </xf>
    <xf numFmtId="0" fontId="3" fillId="12" borderId="32" xfId="0" applyFont="1" applyFill="1" applyBorder="1" applyAlignment="1" applyProtection="1">
      <alignment horizontal="left" vertical="center"/>
      <protection hidden="1"/>
    </xf>
    <xf numFmtId="0" fontId="3" fillId="12" borderId="44" xfId="0" applyFont="1" applyFill="1" applyBorder="1" applyAlignment="1" applyProtection="1">
      <alignment horizontal="left" vertical="center"/>
      <protection hidden="1"/>
    </xf>
    <xf numFmtId="0" fontId="3" fillId="12" borderId="48" xfId="0" applyFont="1" applyFill="1" applyBorder="1" applyAlignment="1" applyProtection="1">
      <alignment horizontal="left" vertical="center"/>
      <protection hidden="1"/>
    </xf>
    <xf numFmtId="0" fontId="3" fillId="6" borderId="57" xfId="0" applyFont="1" applyFill="1" applyBorder="1" applyAlignment="1" applyProtection="1">
      <alignment horizontal="left" vertical="center"/>
      <protection hidden="1"/>
    </xf>
    <xf numFmtId="0" fontId="3" fillId="6" borderId="33" xfId="0" applyFont="1" applyFill="1" applyBorder="1" applyAlignment="1" applyProtection="1">
      <alignment horizontal="left" vertical="center"/>
      <protection hidden="1"/>
    </xf>
    <xf numFmtId="0" fontId="3" fillId="7" borderId="152" xfId="0" applyFont="1" applyFill="1" applyBorder="1" applyAlignment="1" applyProtection="1">
      <alignment horizontal="left" vertical="center"/>
      <protection hidden="1"/>
    </xf>
    <xf numFmtId="0" fontId="3" fillId="7" borderId="153" xfId="0" applyFont="1" applyFill="1" applyBorder="1" applyAlignment="1" applyProtection="1">
      <alignment horizontal="left" vertical="center"/>
      <protection hidden="1"/>
    </xf>
    <xf numFmtId="0" fontId="3" fillId="0" borderId="1" xfId="0" applyFont="1" applyBorder="1" applyAlignment="1" applyProtection="1">
      <alignment horizontal="left" vertical="center"/>
      <protection hidden="1"/>
    </xf>
    <xf numFmtId="0" fontId="3" fillId="0" borderId="61" xfId="0" applyFont="1" applyBorder="1" applyAlignment="1" applyProtection="1">
      <alignment horizontal="left" vertical="center"/>
      <protection hidden="1"/>
    </xf>
    <xf numFmtId="0" fontId="3" fillId="7" borderId="56" xfId="0" applyFont="1" applyFill="1" applyBorder="1" applyAlignment="1" applyProtection="1">
      <alignment horizontal="left" vertical="center"/>
      <protection hidden="1"/>
    </xf>
    <xf numFmtId="0" fontId="3" fillId="7" borderId="32" xfId="0" applyFont="1" applyFill="1" applyBorder="1" applyAlignment="1" applyProtection="1">
      <alignment horizontal="left" vertical="center"/>
      <protection hidden="1"/>
    </xf>
    <xf numFmtId="0" fontId="3" fillId="7" borderId="58" xfId="0" applyFont="1" applyFill="1" applyBorder="1" applyAlignment="1" applyProtection="1">
      <alignment horizontal="left" vertical="center"/>
      <protection hidden="1"/>
    </xf>
    <xf numFmtId="0" fontId="3" fillId="7" borderId="132" xfId="0" applyFont="1" applyFill="1" applyBorder="1" applyAlignment="1" applyProtection="1">
      <alignment horizontal="left" vertical="center"/>
      <protection hidden="1"/>
    </xf>
    <xf numFmtId="0" fontId="3" fillId="12" borderId="133" xfId="0" applyFont="1" applyFill="1" applyBorder="1" applyAlignment="1" applyProtection="1">
      <alignment horizontal="left" vertical="center"/>
      <protection hidden="1"/>
    </xf>
    <xf numFmtId="0" fontId="3" fillId="12" borderId="134" xfId="0" applyFont="1" applyFill="1" applyBorder="1" applyAlignment="1" applyProtection="1">
      <alignment horizontal="left" vertical="center"/>
      <protection hidden="1"/>
    </xf>
    <xf numFmtId="0" fontId="3" fillId="5" borderId="56" xfId="0" applyFont="1" applyFill="1" applyBorder="1" applyAlignment="1" applyProtection="1">
      <alignment horizontal="left" vertical="center"/>
      <protection hidden="1"/>
    </xf>
    <xf numFmtId="0" fontId="3" fillId="5" borderId="32" xfId="0" applyFont="1" applyFill="1" applyBorder="1" applyAlignment="1" applyProtection="1">
      <alignment horizontal="left" vertical="center"/>
      <protection hidden="1"/>
    </xf>
    <xf numFmtId="0" fontId="3" fillId="4" borderId="57" xfId="0" applyFont="1" applyFill="1" applyBorder="1" applyAlignment="1" applyProtection="1">
      <alignment horizontal="left" vertical="center"/>
      <protection hidden="1"/>
    </xf>
    <xf numFmtId="0" fontId="3" fillId="4" borderId="33" xfId="0" applyFont="1" applyFill="1" applyBorder="1" applyAlignment="1" applyProtection="1">
      <alignment horizontal="left" vertical="center"/>
      <protection hidden="1"/>
    </xf>
    <xf numFmtId="0" fontId="3" fillId="5" borderId="152" xfId="0" applyFont="1" applyFill="1" applyBorder="1" applyAlignment="1" applyProtection="1">
      <alignment horizontal="left" vertical="center"/>
      <protection hidden="1"/>
    </xf>
    <xf numFmtId="0" fontId="3" fillId="5" borderId="153" xfId="0" applyFont="1" applyFill="1" applyBorder="1" applyAlignment="1" applyProtection="1">
      <alignment horizontal="left" vertical="center"/>
      <protection hidden="1"/>
    </xf>
    <xf numFmtId="0" fontId="3" fillId="6" borderId="56" xfId="0" applyFont="1" applyFill="1" applyBorder="1" applyAlignment="1" applyProtection="1">
      <alignment horizontal="left" vertical="center"/>
      <protection hidden="1"/>
    </xf>
    <xf numFmtId="0" fontId="3" fillId="6" borderId="32" xfId="0" applyFont="1" applyFill="1" applyBorder="1" applyAlignment="1" applyProtection="1">
      <alignment horizontal="left" vertical="center"/>
      <protection hidden="1"/>
    </xf>
    <xf numFmtId="0" fontId="3" fillId="5" borderId="57" xfId="0" applyFont="1" applyFill="1" applyBorder="1" applyAlignment="1" applyProtection="1">
      <alignment horizontal="left" vertical="center"/>
      <protection hidden="1"/>
    </xf>
    <xf numFmtId="0" fontId="3" fillId="5" borderId="33" xfId="0" applyFont="1" applyFill="1" applyBorder="1" applyAlignment="1" applyProtection="1">
      <alignment horizontal="left" vertical="center"/>
      <protection hidden="1"/>
    </xf>
    <xf numFmtId="0" fontId="3" fillId="6" borderId="152" xfId="0" applyFont="1" applyFill="1" applyBorder="1" applyAlignment="1" applyProtection="1">
      <alignment horizontal="left" vertical="center"/>
      <protection hidden="1"/>
    </xf>
    <xf numFmtId="0" fontId="3" fillId="6" borderId="153" xfId="0" applyFont="1" applyFill="1" applyBorder="1" applyAlignment="1" applyProtection="1">
      <alignment horizontal="left" vertical="center"/>
      <protection hidden="1"/>
    </xf>
    <xf numFmtId="0" fontId="3" fillId="4" borderId="56" xfId="0" applyFont="1" applyFill="1" applyBorder="1" applyAlignment="1" applyProtection="1">
      <alignment horizontal="left" vertical="center"/>
      <protection hidden="1"/>
    </xf>
    <xf numFmtId="0" fontId="3" fillId="4" borderId="32" xfId="0" applyFont="1" applyFill="1" applyBorder="1" applyAlignment="1" applyProtection="1">
      <alignment horizontal="left" vertical="center"/>
      <protection hidden="1"/>
    </xf>
    <xf numFmtId="0" fontId="3" fillId="3" borderId="56" xfId="0" applyFont="1" applyFill="1" applyBorder="1" applyAlignment="1" applyProtection="1">
      <alignment horizontal="left" vertical="center"/>
      <protection hidden="1"/>
    </xf>
    <xf numFmtId="0" fontId="3" fillId="3" borderId="32" xfId="0" applyFont="1" applyFill="1" applyBorder="1" applyAlignment="1" applyProtection="1">
      <alignment horizontal="left" vertical="center"/>
      <protection hidden="1"/>
    </xf>
    <xf numFmtId="0" fontId="3" fillId="3" borderId="57" xfId="0" applyFont="1" applyFill="1" applyBorder="1" applyAlignment="1" applyProtection="1">
      <alignment horizontal="left" vertical="center"/>
      <protection hidden="1"/>
    </xf>
    <xf numFmtId="0" fontId="3" fillId="3" borderId="33" xfId="0" applyFont="1" applyFill="1" applyBorder="1" applyAlignment="1" applyProtection="1">
      <alignment horizontal="left" vertical="center"/>
      <protection hidden="1"/>
    </xf>
    <xf numFmtId="0" fontId="3" fillId="3" borderId="152" xfId="0" applyFont="1" applyFill="1" applyBorder="1" applyAlignment="1" applyProtection="1">
      <alignment horizontal="left" vertical="center"/>
      <protection hidden="1"/>
    </xf>
    <xf numFmtId="0" fontId="3" fillId="3" borderId="153" xfId="0" applyFont="1" applyFill="1" applyBorder="1" applyAlignment="1" applyProtection="1">
      <alignment horizontal="left" vertical="center"/>
      <protection hidden="1"/>
    </xf>
    <xf numFmtId="0" fontId="3" fillId="11" borderId="152" xfId="0" applyFont="1" applyFill="1" applyBorder="1" applyAlignment="1" applyProtection="1">
      <alignment horizontal="left" vertical="center"/>
      <protection hidden="1"/>
    </xf>
    <xf numFmtId="0" fontId="3" fillId="11" borderId="153" xfId="0" applyFont="1" applyFill="1" applyBorder="1" applyAlignment="1" applyProtection="1">
      <alignment horizontal="left" vertical="center"/>
      <protection hidden="1"/>
    </xf>
    <xf numFmtId="0" fontId="3" fillId="11" borderId="57" xfId="0" applyFont="1" applyFill="1" applyBorder="1" applyAlignment="1" applyProtection="1">
      <alignment horizontal="left" vertical="center"/>
      <protection hidden="1"/>
    </xf>
    <xf numFmtId="0" fontId="3" fillId="11" borderId="33" xfId="0" applyFont="1" applyFill="1" applyBorder="1" applyAlignment="1" applyProtection="1">
      <alignment horizontal="left" vertical="center"/>
      <protection hidden="1"/>
    </xf>
    <xf numFmtId="0" fontId="3" fillId="4" borderId="152" xfId="0" applyFont="1" applyFill="1" applyBorder="1" applyAlignment="1" applyProtection="1">
      <alignment horizontal="left" vertical="center"/>
      <protection hidden="1"/>
    </xf>
    <xf numFmtId="0" fontId="3" fillId="4" borderId="153" xfId="0" applyFont="1" applyFill="1" applyBorder="1" applyAlignment="1" applyProtection="1">
      <alignment horizontal="left" vertical="center"/>
      <protection hidden="1"/>
    </xf>
    <xf numFmtId="0" fontId="3" fillId="3" borderId="32" xfId="0" quotePrefix="1" applyFont="1" applyFill="1" applyBorder="1" applyAlignment="1" applyProtection="1">
      <alignment horizontal="left" vertical="center"/>
      <protection hidden="1"/>
    </xf>
    <xf numFmtId="0" fontId="3" fillId="0" borderId="52" xfId="0" applyFont="1" applyBorder="1" applyAlignment="1" applyProtection="1">
      <alignment horizontal="left" vertical="center"/>
      <protection hidden="1"/>
    </xf>
    <xf numFmtId="0" fontId="3" fillId="0" borderId="135" xfId="0" applyFont="1" applyBorder="1" applyAlignment="1" applyProtection="1">
      <alignment horizontal="left" vertical="center"/>
      <protection hidden="1"/>
    </xf>
    <xf numFmtId="0" fontId="3" fillId="0" borderId="56" xfId="0" applyFont="1" applyBorder="1" applyAlignment="1" applyProtection="1">
      <alignment horizontal="left" vertical="center"/>
      <protection hidden="1"/>
    </xf>
    <xf numFmtId="0" fontId="3" fillId="0" borderId="32" xfId="0" applyFont="1" applyBorder="1" applyAlignment="1" applyProtection="1">
      <alignment horizontal="left" vertical="center"/>
      <protection hidden="1"/>
    </xf>
    <xf numFmtId="0" fontId="3" fillId="0" borderId="46" xfId="0" applyFont="1" applyBorder="1" applyAlignment="1" applyProtection="1">
      <alignment horizontal="left" vertical="center"/>
      <protection hidden="1"/>
    </xf>
    <xf numFmtId="0" fontId="3" fillId="0" borderId="9" xfId="0" applyFont="1" applyBorder="1" applyAlignment="1" applyProtection="1">
      <alignment horizontal="left" vertical="center"/>
      <protection hidden="1"/>
    </xf>
    <xf numFmtId="0" fontId="3" fillId="0" borderId="37" xfId="0" applyFont="1" applyBorder="1" applyAlignment="1" applyProtection="1">
      <alignment horizontal="left" vertical="center"/>
      <protection hidden="1"/>
    </xf>
    <xf numFmtId="0" fontId="3" fillId="0" borderId="136" xfId="0" applyFont="1" applyBorder="1" applyAlignment="1" applyProtection="1">
      <alignment horizontal="left" vertical="center"/>
      <protection hidden="1"/>
    </xf>
    <xf numFmtId="0" fontId="3" fillId="7" borderId="57" xfId="0" applyFont="1" applyFill="1" applyBorder="1" applyAlignment="1" applyProtection="1">
      <alignment horizontal="left" vertical="center"/>
      <protection hidden="1"/>
    </xf>
    <xf numFmtId="0" fontId="3" fillId="7" borderId="33" xfId="0" applyFont="1" applyFill="1" applyBorder="1" applyAlignment="1" applyProtection="1">
      <alignment horizontal="left" vertical="center"/>
      <protection hidden="1"/>
    </xf>
    <xf numFmtId="186" fontId="11" fillId="8" borderId="4" xfId="0" applyNumberFormat="1" applyFont="1" applyFill="1" applyBorder="1" applyAlignment="1" applyProtection="1">
      <alignment horizontal="center" vertical="center"/>
      <protection locked="0" hidden="1"/>
    </xf>
    <xf numFmtId="186" fontId="11" fillId="8" borderId="20" xfId="0" applyNumberFormat="1" applyFont="1" applyFill="1" applyBorder="1" applyAlignment="1" applyProtection="1">
      <alignment horizontal="center" vertical="center"/>
      <protection locked="0" hidden="1"/>
    </xf>
    <xf numFmtId="0" fontId="1" fillId="0" borderId="0" xfId="0" applyFont="1" applyAlignment="1" applyProtection="1">
      <alignment horizontal="left" vertical="top" wrapText="1"/>
      <protection hidden="1"/>
    </xf>
    <xf numFmtId="0" fontId="0" fillId="7" borderId="0" xfId="0" applyFill="1" applyAlignment="1" applyProtection="1">
      <alignment horizontal="left"/>
      <protection hidden="1"/>
    </xf>
    <xf numFmtId="0" fontId="0" fillId="3" borderId="0" xfId="0" applyFill="1" applyAlignment="1" applyProtection="1">
      <alignment horizontal="left"/>
      <protection hidden="1"/>
    </xf>
    <xf numFmtId="0" fontId="0" fillId="4" borderId="0" xfId="0" applyFill="1" applyAlignment="1" applyProtection="1">
      <alignment horizontal="left"/>
      <protection hidden="1"/>
    </xf>
    <xf numFmtId="0" fontId="0" fillId="5" borderId="0" xfId="0" applyFill="1" applyAlignment="1" applyProtection="1">
      <alignment horizontal="left"/>
      <protection hidden="1"/>
    </xf>
    <xf numFmtId="0" fontId="0" fillId="6" borderId="0" xfId="0" applyFill="1" applyAlignment="1" applyProtection="1">
      <alignment horizontal="left"/>
      <protection hidden="1"/>
    </xf>
    <xf numFmtId="0" fontId="1" fillId="0" borderId="0" xfId="0" applyFont="1" applyAlignment="1" applyProtection="1">
      <alignment horizontal="center"/>
      <protection hidden="1"/>
    </xf>
    <xf numFmtId="0" fontId="21" fillId="0" borderId="0" xfId="0" applyFont="1" applyAlignment="1" applyProtection="1">
      <alignment horizontal="center"/>
      <protection hidden="1"/>
    </xf>
    <xf numFmtId="0" fontId="15" fillId="2" borderId="4" xfId="0" applyFont="1" applyFill="1" applyBorder="1" applyAlignment="1" applyProtection="1">
      <alignment horizontal="left" vertical="center"/>
      <protection hidden="1"/>
    </xf>
    <xf numFmtId="0" fontId="15" fillId="2" borderId="2" xfId="0" applyFont="1" applyFill="1" applyBorder="1" applyAlignment="1" applyProtection="1">
      <alignment horizontal="left" vertical="center"/>
      <protection hidden="1"/>
    </xf>
    <xf numFmtId="0" fontId="15" fillId="2" borderId="20" xfId="0" applyFont="1" applyFill="1" applyBorder="1" applyAlignment="1" applyProtection="1">
      <alignment horizontal="left" vertical="center"/>
      <protection hidden="1"/>
    </xf>
    <xf numFmtId="0" fontId="14" fillId="0" borderId="80" xfId="0" applyFont="1" applyBorder="1" applyAlignment="1" applyProtection="1">
      <alignment horizontal="center" vertical="center"/>
      <protection hidden="1"/>
    </xf>
    <xf numFmtId="0" fontId="14" fillId="0" borderId="26" xfId="0" applyFont="1" applyBorder="1" applyAlignment="1" applyProtection="1">
      <alignment horizontal="center" vertical="center"/>
      <protection hidden="1"/>
    </xf>
    <xf numFmtId="14" fontId="12" fillId="16" borderId="0" xfId="4" applyNumberFormat="1" applyFont="1" applyFill="1" applyProtection="1">
      <protection locked="0"/>
    </xf>
    <xf numFmtId="178" fontId="12" fillId="16" borderId="0" xfId="4" applyFont="1" applyFill="1" applyProtection="1">
      <protection locked="0"/>
    </xf>
    <xf numFmtId="178" fontId="12" fillId="0" borderId="0" xfId="4" applyFont="1" applyAlignment="1" applyProtection="1">
      <alignment horizontal="right"/>
      <protection locked="0"/>
    </xf>
    <xf numFmtId="178" fontId="12" fillId="0" borderId="0" xfId="4" quotePrefix="1" applyFont="1" applyAlignment="1" applyProtection="1">
      <alignment horizontal="right"/>
      <protection locked="0"/>
    </xf>
    <xf numFmtId="16" fontId="12" fillId="0" borderId="0" xfId="4" quotePrefix="1" applyNumberFormat="1" applyFont="1" applyAlignment="1" applyProtection="1">
      <alignment horizontal="right"/>
      <protection locked="0"/>
    </xf>
    <xf numFmtId="180" fontId="25" fillId="0" borderId="125" xfId="4" applyNumberFormat="1" applyFont="1" applyBorder="1" applyAlignment="1" applyProtection="1">
      <alignment horizontal="right"/>
      <protection locked="0"/>
    </xf>
    <xf numFmtId="178" fontId="4" fillId="0" borderId="1" xfId="4" applyFont="1" applyBorder="1" applyProtection="1">
      <protection locked="0"/>
    </xf>
    <xf numFmtId="178" fontId="4" fillId="0" borderId="61" xfId="4" applyFont="1" applyBorder="1" applyProtection="1">
      <protection locked="0"/>
    </xf>
    <xf numFmtId="180" fontId="25" fillId="0" borderId="1" xfId="4" applyNumberFormat="1" applyFont="1" applyBorder="1" applyAlignment="1" applyProtection="1">
      <alignment horizontal="right"/>
      <protection locked="0"/>
    </xf>
    <xf numFmtId="182" fontId="25" fillId="0" borderId="137" xfId="1" applyNumberFormat="1" applyFont="1" applyBorder="1" applyAlignment="1" applyProtection="1">
      <protection locked="0"/>
    </xf>
    <xf numFmtId="182" fontId="4" fillId="0" borderId="2" xfId="1" applyNumberFormat="1" applyFont="1" applyBorder="1" applyAlignment="1" applyProtection="1">
      <protection locked="0"/>
    </xf>
    <xf numFmtId="182" fontId="4" fillId="0" borderId="126" xfId="1" applyNumberFormat="1" applyFont="1" applyBorder="1" applyAlignment="1" applyProtection="1">
      <protection locked="0"/>
    </xf>
    <xf numFmtId="1" fontId="25" fillId="0" borderId="2" xfId="4" applyNumberFormat="1" applyFont="1" applyBorder="1" applyAlignment="1" applyProtection="1">
      <alignment horizontal="right" vertical="center"/>
      <protection locked="0"/>
    </xf>
    <xf numFmtId="178" fontId="3" fillId="0" borderId="2" xfId="4" applyFont="1" applyBorder="1" applyAlignment="1" applyProtection="1">
      <alignment horizontal="right" vertical="center"/>
      <protection locked="0"/>
    </xf>
    <xf numFmtId="180" fontId="25" fillId="0" borderId="28" xfId="4" applyNumberFormat="1" applyFont="1" applyBorder="1" applyAlignment="1" applyProtection="1">
      <alignment horizontal="right"/>
      <protection locked="0"/>
    </xf>
    <xf numFmtId="178" fontId="4" fillId="0" borderId="0" xfId="4" applyFont="1" applyProtection="1">
      <protection locked="0"/>
    </xf>
    <xf numFmtId="178" fontId="4" fillId="0" borderId="9" xfId="4" applyFont="1" applyBorder="1" applyProtection="1">
      <protection locked="0"/>
    </xf>
    <xf numFmtId="43" fontId="25" fillId="0" borderId="138" xfId="1" applyFont="1" applyBorder="1" applyAlignment="1" applyProtection="1">
      <alignment horizontal="right"/>
      <protection locked="0"/>
    </xf>
    <xf numFmtId="43" fontId="4" fillId="0" borderId="3" xfId="1" applyFont="1" applyBorder="1" applyAlignment="1" applyProtection="1">
      <alignment horizontal="right"/>
      <protection locked="0"/>
    </xf>
    <xf numFmtId="43" fontId="4" fillId="0" borderId="65" xfId="1" applyFont="1" applyBorder="1" applyAlignment="1" applyProtection="1">
      <alignment horizontal="right"/>
      <protection locked="0"/>
    </xf>
    <xf numFmtId="180" fontId="25" fillId="0" borderId="0" xfId="4" applyNumberFormat="1" applyFont="1" applyAlignment="1" applyProtection="1">
      <alignment horizontal="right"/>
      <protection locked="0"/>
    </xf>
    <xf numFmtId="180" fontId="25" fillId="0" borderId="138" xfId="4" applyNumberFormat="1" applyFont="1" applyBorder="1" applyAlignment="1" applyProtection="1">
      <alignment horizontal="right"/>
      <protection locked="0"/>
    </xf>
    <xf numFmtId="178" fontId="4" fillId="0" borderId="3" xfId="4" applyFont="1" applyBorder="1" applyProtection="1">
      <protection locked="0"/>
    </xf>
    <xf numFmtId="178" fontId="4" fillId="0" borderId="65" xfId="4" applyFont="1" applyBorder="1" applyProtection="1">
      <protection locked="0"/>
    </xf>
    <xf numFmtId="180" fontId="25" fillId="0" borderId="3" xfId="4" applyNumberFormat="1" applyFont="1" applyBorder="1" applyAlignment="1" applyProtection="1">
      <alignment horizontal="right"/>
      <protection locked="0"/>
    </xf>
    <xf numFmtId="182" fontId="4" fillId="0" borderId="20" xfId="1" applyNumberFormat="1" applyFont="1" applyBorder="1" applyAlignment="1" applyProtection="1">
      <protection locked="0"/>
    </xf>
    <xf numFmtId="2" fontId="25" fillId="0" borderId="138" xfId="4" applyNumberFormat="1" applyFont="1" applyBorder="1" applyAlignment="1" applyProtection="1">
      <alignment horizontal="right"/>
      <protection locked="0"/>
    </xf>
  </cellXfs>
  <cellStyles count="5">
    <cellStyle name="Komma" xfId="1" builtinId="3"/>
    <cellStyle name="Link" xfId="2" builtinId="8"/>
    <cellStyle name="Prozent" xfId="3" builtinId="5"/>
    <cellStyle name="Standard" xfId="0" builtinId="0"/>
    <cellStyle name="Standard_Kalender2007" xfId="4" xr:uid="{00000000-0005-0000-0000-000004000000}"/>
  </cellStyles>
  <dxfs count="319">
    <dxf>
      <font>
        <b/>
        <i val="0"/>
        <condense val="0"/>
        <extend val="0"/>
      </font>
    </dxf>
    <dxf>
      <font>
        <b val="0"/>
        <i val="0"/>
        <condense val="0"/>
        <extend val="0"/>
        <color indexed="9"/>
      </font>
    </dxf>
    <dxf>
      <font>
        <b/>
        <i val="0"/>
        <condense val="0"/>
        <extend val="0"/>
      </font>
    </dxf>
    <dxf>
      <font>
        <b/>
        <i val="0"/>
        <condense val="0"/>
        <extend val="0"/>
      </font>
    </dxf>
    <dxf>
      <font>
        <color indexed="9"/>
      </font>
    </dxf>
    <dxf>
      <font>
        <condense val="0"/>
        <extend val="0"/>
        <color indexed="57"/>
      </font>
      <fill>
        <patternFill patternType="solid">
          <bgColor indexed="42"/>
        </patternFill>
      </fill>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dxf>
    <dxf>
      <font>
        <b val="0"/>
        <i val="0"/>
        <condense val="0"/>
        <extend val="0"/>
        <color auto="1"/>
      </font>
      <fill>
        <patternFill>
          <bgColor indexed="22"/>
        </patternFill>
      </fill>
      <border>
        <right style="thin">
          <color indexed="64"/>
        </right>
      </border>
    </dxf>
    <dxf>
      <font>
        <condense val="0"/>
        <extend val="0"/>
        <color auto="1"/>
      </font>
      <fill>
        <patternFill patternType="solid">
          <bgColor indexed="22"/>
        </patternFill>
      </fill>
      <border>
        <left style="dotted">
          <color indexed="64"/>
        </left>
        <right/>
      </border>
    </dxf>
    <dxf>
      <font>
        <b/>
        <i/>
        <condense val="0"/>
        <extend val="0"/>
        <color indexed="9"/>
      </font>
      <fill>
        <patternFill patternType="solid">
          <bgColor indexed="10"/>
        </patternFill>
      </fill>
      <border>
        <left/>
        <right/>
        <top/>
        <bottom style="thin">
          <color indexed="64"/>
        </bottom>
      </border>
    </dxf>
    <dxf>
      <font>
        <condense val="0"/>
        <extend val="0"/>
        <color auto="1"/>
      </font>
      <fill>
        <patternFill patternType="solid">
          <bgColor indexed="42"/>
        </patternFill>
      </fill>
      <border>
        <right style="thin">
          <color indexed="64"/>
        </right>
      </border>
    </dxf>
    <dxf>
      <font>
        <condense val="0"/>
        <extend val="0"/>
        <color auto="1"/>
      </font>
      <fill>
        <patternFill patternType="solid">
          <bgColor indexed="42"/>
        </patternFill>
      </fill>
      <border>
        <left style="dotted">
          <color indexed="64"/>
        </left>
      </border>
    </dxf>
    <dxf>
      <font>
        <condense val="0"/>
        <extend val="0"/>
        <color indexed="57"/>
      </font>
      <fill>
        <patternFill patternType="solid">
          <bgColor indexed="43"/>
        </patternFill>
      </fill>
      <border>
        <right style="thin">
          <color indexed="64"/>
        </right>
      </border>
    </dxf>
    <dxf>
      <font>
        <condense val="0"/>
        <extend val="0"/>
        <color indexed="57"/>
      </font>
      <fill>
        <patternFill patternType="solid">
          <bgColor indexed="43"/>
        </patternFill>
      </fill>
      <border>
        <left style="dotted">
          <color indexed="64"/>
        </left>
      </border>
    </dxf>
    <dxf>
      <font>
        <condense val="0"/>
        <extend val="0"/>
        <color auto="1"/>
      </font>
      <fill>
        <patternFill patternType="solid">
          <bgColor indexed="41"/>
        </patternFill>
      </fill>
      <border>
        <right style="thin">
          <color indexed="64"/>
        </right>
      </border>
    </dxf>
    <dxf>
      <font>
        <condense val="0"/>
        <extend val="0"/>
        <color auto="1"/>
      </font>
      <fill>
        <patternFill patternType="solid">
          <bgColor indexed="41"/>
        </patternFill>
      </fill>
      <border>
        <left style="dotted">
          <color indexed="64"/>
        </left>
      </border>
    </dxf>
    <dxf>
      <font>
        <condense val="0"/>
        <extend val="0"/>
        <color indexed="9"/>
      </font>
      <fill>
        <patternFill patternType="solid">
          <bgColor indexed="55"/>
        </patternFill>
      </fill>
      <border>
        <right style="thin">
          <color indexed="64"/>
        </right>
      </border>
    </dxf>
    <dxf>
      <font>
        <condense val="0"/>
        <extend val="0"/>
        <color indexed="9"/>
      </font>
      <fill>
        <patternFill patternType="solid">
          <bgColor indexed="55"/>
        </patternFill>
      </fill>
      <border>
        <left style="dotted">
          <color indexed="64"/>
        </left>
      </border>
    </dxf>
    <dxf>
      <font>
        <condense val="0"/>
        <extend val="0"/>
        <color indexed="55"/>
      </font>
      <fill>
        <patternFill patternType="solid">
          <bgColor indexed="22"/>
        </patternFill>
      </fill>
      <border>
        <right style="thin">
          <color indexed="64"/>
        </right>
      </border>
    </dxf>
    <dxf>
      <font>
        <condense val="0"/>
        <extend val="0"/>
        <color indexed="55"/>
      </font>
      <fill>
        <patternFill patternType="solid">
          <bgColor indexed="22"/>
        </patternFill>
      </fill>
      <border>
        <left style="dotted">
          <color indexed="64"/>
        </left>
      </border>
    </dxf>
    <dxf>
      <fill>
        <patternFill>
          <bgColor indexed="2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border>
        <right style="thin">
          <color indexed="64"/>
        </right>
      </border>
    </dxf>
    <dxf>
      <font>
        <condense val="0"/>
        <extend val="0"/>
        <color indexed="57"/>
      </font>
      <fill>
        <patternFill patternType="solid">
          <bgColor indexed="42"/>
        </patternFill>
      </fill>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dxf>
    <dxf>
      <font>
        <b val="0"/>
        <i val="0"/>
        <condense val="0"/>
        <extend val="0"/>
        <color auto="1"/>
      </font>
      <fill>
        <patternFill>
          <bgColor indexed="22"/>
        </patternFill>
      </fill>
      <border>
        <right style="thin">
          <color indexed="64"/>
        </right>
      </border>
    </dxf>
    <dxf>
      <font>
        <condense val="0"/>
        <extend val="0"/>
        <color auto="1"/>
      </font>
      <fill>
        <patternFill patternType="solid">
          <bgColor indexed="22"/>
        </patternFill>
      </fill>
      <border>
        <left style="dotted">
          <color indexed="64"/>
        </left>
        <right/>
      </border>
    </dxf>
    <dxf>
      <font>
        <b/>
        <i/>
        <condense val="0"/>
        <extend val="0"/>
        <color indexed="9"/>
      </font>
      <fill>
        <patternFill patternType="solid">
          <bgColor indexed="10"/>
        </patternFill>
      </fill>
      <border>
        <left/>
        <right/>
        <top/>
        <bottom style="thin">
          <color indexed="64"/>
        </bottom>
      </border>
    </dxf>
    <dxf>
      <font>
        <condense val="0"/>
        <extend val="0"/>
        <color auto="1"/>
      </font>
      <fill>
        <patternFill patternType="solid">
          <bgColor indexed="42"/>
        </patternFill>
      </fill>
      <border>
        <right style="thin">
          <color indexed="64"/>
        </right>
      </border>
    </dxf>
    <dxf>
      <font>
        <condense val="0"/>
        <extend val="0"/>
        <color auto="1"/>
      </font>
      <fill>
        <patternFill patternType="solid">
          <bgColor indexed="42"/>
        </patternFill>
      </fill>
      <border>
        <left style="dotted">
          <color indexed="64"/>
        </left>
      </border>
    </dxf>
    <dxf>
      <font>
        <condense val="0"/>
        <extend val="0"/>
        <color indexed="57"/>
      </font>
      <fill>
        <patternFill patternType="solid">
          <bgColor indexed="43"/>
        </patternFill>
      </fill>
      <border>
        <right style="thin">
          <color indexed="64"/>
        </right>
      </border>
    </dxf>
    <dxf>
      <font>
        <condense val="0"/>
        <extend val="0"/>
        <color indexed="57"/>
      </font>
      <fill>
        <patternFill patternType="solid">
          <bgColor indexed="43"/>
        </patternFill>
      </fill>
      <border>
        <left style="dotted">
          <color indexed="64"/>
        </left>
      </border>
    </dxf>
    <dxf>
      <font>
        <condense val="0"/>
        <extend val="0"/>
        <color auto="1"/>
      </font>
      <fill>
        <patternFill patternType="solid">
          <bgColor indexed="41"/>
        </patternFill>
      </fill>
      <border>
        <right style="thin">
          <color indexed="64"/>
        </right>
      </border>
    </dxf>
    <dxf>
      <font>
        <condense val="0"/>
        <extend val="0"/>
        <color auto="1"/>
      </font>
      <fill>
        <patternFill patternType="solid">
          <bgColor indexed="41"/>
        </patternFill>
      </fill>
      <border>
        <left style="dotted">
          <color indexed="64"/>
        </left>
      </border>
    </dxf>
    <dxf>
      <font>
        <condense val="0"/>
        <extend val="0"/>
        <color indexed="9"/>
      </font>
      <fill>
        <patternFill patternType="solid">
          <bgColor indexed="55"/>
        </patternFill>
      </fill>
      <border>
        <right style="thin">
          <color indexed="64"/>
        </right>
      </border>
    </dxf>
    <dxf>
      <font>
        <condense val="0"/>
        <extend val="0"/>
        <color indexed="9"/>
      </font>
      <fill>
        <patternFill patternType="solid">
          <bgColor indexed="55"/>
        </patternFill>
      </fill>
      <border>
        <left style="dotted">
          <color indexed="64"/>
        </left>
      </border>
    </dxf>
    <dxf>
      <font>
        <condense val="0"/>
        <extend val="0"/>
        <color indexed="55"/>
      </font>
      <fill>
        <patternFill patternType="solid">
          <bgColor indexed="22"/>
        </patternFill>
      </fill>
      <border>
        <right style="thin">
          <color indexed="64"/>
        </right>
      </border>
    </dxf>
    <dxf>
      <font>
        <condense val="0"/>
        <extend val="0"/>
        <color indexed="55"/>
      </font>
      <fill>
        <patternFill patternType="solid">
          <bgColor indexed="22"/>
        </patternFill>
      </fill>
      <border>
        <left style="dotted">
          <color indexed="64"/>
        </left>
      </border>
    </dxf>
    <dxf>
      <fill>
        <patternFill>
          <bgColor indexed="2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border>
        <right style="thin">
          <color indexed="64"/>
        </right>
      </border>
    </dxf>
    <dxf>
      <font>
        <condense val="0"/>
        <extend val="0"/>
        <color indexed="57"/>
      </font>
      <fill>
        <patternFill patternType="solid">
          <bgColor indexed="42"/>
        </patternFill>
      </fill>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dxf>
    <dxf>
      <font>
        <b val="0"/>
        <i val="0"/>
        <condense val="0"/>
        <extend val="0"/>
        <color auto="1"/>
      </font>
      <fill>
        <patternFill>
          <bgColor indexed="22"/>
        </patternFill>
      </fill>
      <border>
        <right style="thin">
          <color indexed="64"/>
        </right>
      </border>
    </dxf>
    <dxf>
      <font>
        <condense val="0"/>
        <extend val="0"/>
        <color auto="1"/>
      </font>
      <fill>
        <patternFill patternType="solid">
          <bgColor indexed="22"/>
        </patternFill>
      </fill>
      <border>
        <left style="dotted">
          <color indexed="64"/>
        </left>
        <right/>
      </border>
    </dxf>
    <dxf>
      <font>
        <b/>
        <i/>
        <condense val="0"/>
        <extend val="0"/>
        <color indexed="9"/>
      </font>
      <fill>
        <patternFill patternType="solid">
          <bgColor indexed="10"/>
        </patternFill>
      </fill>
      <border>
        <left/>
        <right/>
        <top/>
        <bottom style="thin">
          <color indexed="64"/>
        </bottom>
      </border>
    </dxf>
    <dxf>
      <font>
        <condense val="0"/>
        <extend val="0"/>
        <color auto="1"/>
      </font>
      <fill>
        <patternFill patternType="solid">
          <bgColor indexed="42"/>
        </patternFill>
      </fill>
      <border>
        <right style="thin">
          <color indexed="64"/>
        </right>
      </border>
    </dxf>
    <dxf>
      <font>
        <condense val="0"/>
        <extend val="0"/>
        <color auto="1"/>
      </font>
      <fill>
        <patternFill patternType="solid">
          <bgColor indexed="42"/>
        </patternFill>
      </fill>
      <border>
        <left style="dotted">
          <color indexed="64"/>
        </left>
      </border>
    </dxf>
    <dxf>
      <font>
        <condense val="0"/>
        <extend val="0"/>
        <color indexed="57"/>
      </font>
      <fill>
        <patternFill patternType="solid">
          <bgColor indexed="43"/>
        </patternFill>
      </fill>
      <border>
        <right style="thin">
          <color indexed="64"/>
        </right>
      </border>
    </dxf>
    <dxf>
      <font>
        <condense val="0"/>
        <extend val="0"/>
        <color indexed="57"/>
      </font>
      <fill>
        <patternFill patternType="solid">
          <bgColor indexed="43"/>
        </patternFill>
      </fill>
      <border>
        <left style="dotted">
          <color indexed="64"/>
        </left>
      </border>
    </dxf>
    <dxf>
      <font>
        <condense val="0"/>
        <extend val="0"/>
        <color auto="1"/>
      </font>
      <fill>
        <patternFill patternType="solid">
          <bgColor indexed="41"/>
        </patternFill>
      </fill>
      <border>
        <right style="thin">
          <color indexed="64"/>
        </right>
      </border>
    </dxf>
    <dxf>
      <font>
        <condense val="0"/>
        <extend val="0"/>
        <color auto="1"/>
      </font>
      <fill>
        <patternFill patternType="solid">
          <bgColor indexed="41"/>
        </patternFill>
      </fill>
      <border>
        <left style="dotted">
          <color indexed="64"/>
        </left>
      </border>
    </dxf>
    <dxf>
      <font>
        <condense val="0"/>
        <extend val="0"/>
        <color indexed="9"/>
      </font>
      <fill>
        <patternFill patternType="solid">
          <bgColor indexed="55"/>
        </patternFill>
      </fill>
      <border>
        <right style="thin">
          <color indexed="64"/>
        </right>
      </border>
    </dxf>
    <dxf>
      <font>
        <condense val="0"/>
        <extend val="0"/>
        <color indexed="9"/>
      </font>
      <fill>
        <patternFill patternType="solid">
          <bgColor indexed="55"/>
        </patternFill>
      </fill>
      <border>
        <left style="dotted">
          <color indexed="64"/>
        </left>
      </border>
    </dxf>
    <dxf>
      <font>
        <condense val="0"/>
        <extend val="0"/>
        <color indexed="55"/>
      </font>
      <fill>
        <patternFill patternType="solid">
          <bgColor indexed="22"/>
        </patternFill>
      </fill>
      <border>
        <right style="thin">
          <color indexed="64"/>
        </right>
      </border>
    </dxf>
    <dxf>
      <font>
        <condense val="0"/>
        <extend val="0"/>
        <color indexed="55"/>
      </font>
      <fill>
        <patternFill patternType="solid">
          <bgColor indexed="22"/>
        </patternFill>
      </fill>
      <border>
        <left style="dotted">
          <color indexed="64"/>
        </left>
      </border>
    </dxf>
    <dxf>
      <fill>
        <patternFill>
          <bgColor indexed="2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border>
        <right style="thin">
          <color indexed="64"/>
        </right>
      </border>
    </dxf>
    <dxf>
      <font>
        <condense val="0"/>
        <extend val="0"/>
        <color indexed="57"/>
      </font>
      <fill>
        <patternFill patternType="solid">
          <bgColor indexed="42"/>
        </patternFill>
      </fill>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dxf>
    <dxf>
      <font>
        <b val="0"/>
        <i val="0"/>
        <condense val="0"/>
        <extend val="0"/>
        <color auto="1"/>
      </font>
      <fill>
        <patternFill>
          <bgColor indexed="22"/>
        </patternFill>
      </fill>
      <border>
        <right style="thin">
          <color indexed="64"/>
        </right>
      </border>
    </dxf>
    <dxf>
      <font>
        <condense val="0"/>
        <extend val="0"/>
        <color auto="1"/>
      </font>
      <fill>
        <patternFill patternType="solid">
          <bgColor indexed="22"/>
        </patternFill>
      </fill>
      <border>
        <left style="dotted">
          <color indexed="64"/>
        </left>
        <right/>
      </border>
    </dxf>
    <dxf>
      <font>
        <b/>
        <i/>
        <condense val="0"/>
        <extend val="0"/>
        <color indexed="9"/>
      </font>
      <fill>
        <patternFill patternType="solid">
          <bgColor indexed="10"/>
        </patternFill>
      </fill>
      <border>
        <left/>
        <right/>
        <top/>
        <bottom style="thin">
          <color indexed="64"/>
        </bottom>
      </border>
    </dxf>
    <dxf>
      <font>
        <condense val="0"/>
        <extend val="0"/>
        <color auto="1"/>
      </font>
      <fill>
        <patternFill patternType="solid">
          <bgColor indexed="42"/>
        </patternFill>
      </fill>
      <border>
        <right style="thin">
          <color indexed="64"/>
        </right>
      </border>
    </dxf>
    <dxf>
      <font>
        <condense val="0"/>
        <extend val="0"/>
        <color auto="1"/>
      </font>
      <fill>
        <patternFill patternType="solid">
          <bgColor indexed="42"/>
        </patternFill>
      </fill>
      <border>
        <left style="dotted">
          <color indexed="64"/>
        </left>
      </border>
    </dxf>
    <dxf>
      <font>
        <condense val="0"/>
        <extend val="0"/>
        <color indexed="57"/>
      </font>
      <fill>
        <patternFill patternType="solid">
          <bgColor indexed="43"/>
        </patternFill>
      </fill>
      <border>
        <right style="thin">
          <color indexed="64"/>
        </right>
      </border>
    </dxf>
    <dxf>
      <font>
        <condense val="0"/>
        <extend val="0"/>
        <color indexed="57"/>
      </font>
      <fill>
        <patternFill patternType="solid">
          <bgColor indexed="43"/>
        </patternFill>
      </fill>
      <border>
        <left style="dotted">
          <color indexed="64"/>
        </left>
      </border>
    </dxf>
    <dxf>
      <font>
        <condense val="0"/>
        <extend val="0"/>
        <color auto="1"/>
      </font>
      <fill>
        <patternFill patternType="solid">
          <bgColor indexed="41"/>
        </patternFill>
      </fill>
      <border>
        <right style="thin">
          <color indexed="64"/>
        </right>
      </border>
    </dxf>
    <dxf>
      <font>
        <condense val="0"/>
        <extend val="0"/>
        <color auto="1"/>
      </font>
      <fill>
        <patternFill patternType="solid">
          <bgColor indexed="41"/>
        </patternFill>
      </fill>
      <border>
        <left style="dotted">
          <color indexed="64"/>
        </left>
      </border>
    </dxf>
    <dxf>
      <font>
        <condense val="0"/>
        <extend val="0"/>
        <color indexed="9"/>
      </font>
      <fill>
        <patternFill patternType="solid">
          <bgColor indexed="55"/>
        </patternFill>
      </fill>
      <border>
        <right style="thin">
          <color indexed="64"/>
        </right>
      </border>
    </dxf>
    <dxf>
      <font>
        <condense val="0"/>
        <extend val="0"/>
        <color indexed="9"/>
      </font>
      <fill>
        <patternFill patternType="solid">
          <bgColor indexed="55"/>
        </patternFill>
      </fill>
      <border>
        <left style="dotted">
          <color indexed="64"/>
        </left>
      </border>
    </dxf>
    <dxf>
      <font>
        <condense val="0"/>
        <extend val="0"/>
        <color indexed="55"/>
      </font>
      <fill>
        <patternFill patternType="solid">
          <bgColor indexed="22"/>
        </patternFill>
      </fill>
      <border>
        <right style="thin">
          <color indexed="64"/>
        </right>
      </border>
    </dxf>
    <dxf>
      <font>
        <condense val="0"/>
        <extend val="0"/>
        <color indexed="55"/>
      </font>
      <fill>
        <patternFill patternType="solid">
          <bgColor indexed="22"/>
        </patternFill>
      </fill>
      <border>
        <left style="dotted">
          <color indexed="64"/>
        </left>
      </border>
    </dxf>
    <dxf>
      <fill>
        <patternFill>
          <bgColor indexed="2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border>
        <right style="thin">
          <color indexed="64"/>
        </right>
      </border>
    </dxf>
    <dxf>
      <font>
        <condense val="0"/>
        <extend val="0"/>
        <color indexed="57"/>
      </font>
      <fill>
        <patternFill patternType="solid">
          <bgColor indexed="42"/>
        </patternFill>
      </fill>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dxf>
    <dxf>
      <font>
        <b val="0"/>
        <i val="0"/>
        <condense val="0"/>
        <extend val="0"/>
        <color auto="1"/>
      </font>
      <fill>
        <patternFill>
          <bgColor indexed="22"/>
        </patternFill>
      </fill>
      <border>
        <right style="thin">
          <color indexed="64"/>
        </right>
      </border>
    </dxf>
    <dxf>
      <font>
        <condense val="0"/>
        <extend val="0"/>
        <color auto="1"/>
      </font>
      <fill>
        <patternFill patternType="solid">
          <bgColor indexed="22"/>
        </patternFill>
      </fill>
      <border>
        <left style="dotted">
          <color indexed="64"/>
        </left>
        <right/>
      </border>
    </dxf>
    <dxf>
      <font>
        <b/>
        <i/>
        <condense val="0"/>
        <extend val="0"/>
        <color indexed="9"/>
      </font>
      <fill>
        <patternFill patternType="solid">
          <bgColor indexed="10"/>
        </patternFill>
      </fill>
      <border>
        <left/>
        <right/>
        <top/>
        <bottom style="thin">
          <color indexed="64"/>
        </bottom>
      </border>
    </dxf>
    <dxf>
      <font>
        <condense val="0"/>
        <extend val="0"/>
        <color auto="1"/>
      </font>
      <fill>
        <patternFill patternType="solid">
          <bgColor indexed="42"/>
        </patternFill>
      </fill>
      <border>
        <right style="thin">
          <color indexed="64"/>
        </right>
      </border>
    </dxf>
    <dxf>
      <font>
        <condense val="0"/>
        <extend val="0"/>
        <color auto="1"/>
      </font>
      <fill>
        <patternFill patternType="solid">
          <bgColor indexed="42"/>
        </patternFill>
      </fill>
      <border>
        <left style="dotted">
          <color indexed="64"/>
        </left>
      </border>
    </dxf>
    <dxf>
      <font>
        <condense val="0"/>
        <extend val="0"/>
        <color indexed="57"/>
      </font>
      <fill>
        <patternFill patternType="solid">
          <bgColor indexed="43"/>
        </patternFill>
      </fill>
      <border>
        <right style="thin">
          <color indexed="64"/>
        </right>
      </border>
    </dxf>
    <dxf>
      <font>
        <condense val="0"/>
        <extend val="0"/>
        <color indexed="57"/>
      </font>
      <fill>
        <patternFill patternType="solid">
          <bgColor indexed="43"/>
        </patternFill>
      </fill>
      <border>
        <left style="dotted">
          <color indexed="64"/>
        </left>
      </border>
    </dxf>
    <dxf>
      <font>
        <condense val="0"/>
        <extend val="0"/>
        <color auto="1"/>
      </font>
      <fill>
        <patternFill patternType="solid">
          <bgColor indexed="41"/>
        </patternFill>
      </fill>
      <border>
        <right style="thin">
          <color indexed="64"/>
        </right>
      </border>
    </dxf>
    <dxf>
      <font>
        <condense val="0"/>
        <extend val="0"/>
        <color auto="1"/>
      </font>
      <fill>
        <patternFill patternType="solid">
          <bgColor indexed="41"/>
        </patternFill>
      </fill>
      <border>
        <left style="dotted">
          <color indexed="64"/>
        </left>
      </border>
    </dxf>
    <dxf>
      <font>
        <condense val="0"/>
        <extend val="0"/>
        <color indexed="9"/>
      </font>
      <fill>
        <patternFill patternType="solid">
          <bgColor indexed="55"/>
        </patternFill>
      </fill>
      <border>
        <right style="thin">
          <color indexed="64"/>
        </right>
      </border>
    </dxf>
    <dxf>
      <font>
        <condense val="0"/>
        <extend val="0"/>
        <color indexed="9"/>
      </font>
      <fill>
        <patternFill patternType="solid">
          <bgColor indexed="55"/>
        </patternFill>
      </fill>
      <border>
        <left style="dotted">
          <color indexed="64"/>
        </left>
      </border>
    </dxf>
    <dxf>
      <font>
        <condense val="0"/>
        <extend val="0"/>
        <color indexed="55"/>
      </font>
      <fill>
        <patternFill patternType="solid">
          <bgColor indexed="22"/>
        </patternFill>
      </fill>
      <border>
        <right style="thin">
          <color indexed="64"/>
        </right>
      </border>
    </dxf>
    <dxf>
      <font>
        <condense val="0"/>
        <extend val="0"/>
        <color indexed="55"/>
      </font>
      <fill>
        <patternFill patternType="solid">
          <bgColor indexed="22"/>
        </patternFill>
      </fill>
      <border>
        <left style="dotted">
          <color indexed="64"/>
        </left>
      </border>
    </dxf>
    <dxf>
      <fill>
        <patternFill>
          <bgColor indexed="2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border>
        <right style="thin">
          <color indexed="64"/>
        </right>
      </border>
    </dxf>
    <dxf>
      <font>
        <condense val="0"/>
        <extend val="0"/>
        <color indexed="57"/>
      </font>
      <fill>
        <patternFill patternType="solid">
          <bgColor indexed="42"/>
        </patternFill>
      </fill>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dxf>
    <dxf>
      <font>
        <b val="0"/>
        <i val="0"/>
        <condense val="0"/>
        <extend val="0"/>
        <color auto="1"/>
      </font>
      <fill>
        <patternFill>
          <bgColor indexed="22"/>
        </patternFill>
      </fill>
      <border>
        <right style="thin">
          <color indexed="64"/>
        </right>
      </border>
    </dxf>
    <dxf>
      <font>
        <condense val="0"/>
        <extend val="0"/>
        <color auto="1"/>
      </font>
      <fill>
        <patternFill patternType="solid">
          <bgColor indexed="22"/>
        </patternFill>
      </fill>
      <border>
        <left style="dotted">
          <color indexed="64"/>
        </left>
        <right/>
      </border>
    </dxf>
    <dxf>
      <font>
        <b/>
        <i/>
        <condense val="0"/>
        <extend val="0"/>
        <color indexed="9"/>
      </font>
      <fill>
        <patternFill patternType="solid">
          <bgColor indexed="10"/>
        </patternFill>
      </fill>
      <border>
        <left/>
        <right/>
        <top/>
        <bottom style="thin">
          <color indexed="64"/>
        </bottom>
      </border>
    </dxf>
    <dxf>
      <font>
        <condense val="0"/>
        <extend val="0"/>
        <color auto="1"/>
      </font>
      <fill>
        <patternFill patternType="solid">
          <bgColor indexed="42"/>
        </patternFill>
      </fill>
      <border>
        <right style="thin">
          <color indexed="64"/>
        </right>
      </border>
    </dxf>
    <dxf>
      <font>
        <condense val="0"/>
        <extend val="0"/>
        <color auto="1"/>
      </font>
      <fill>
        <patternFill patternType="solid">
          <bgColor indexed="42"/>
        </patternFill>
      </fill>
      <border>
        <left style="dotted">
          <color indexed="64"/>
        </left>
      </border>
    </dxf>
    <dxf>
      <font>
        <condense val="0"/>
        <extend val="0"/>
        <color indexed="57"/>
      </font>
      <fill>
        <patternFill patternType="solid">
          <bgColor indexed="43"/>
        </patternFill>
      </fill>
      <border>
        <right style="thin">
          <color indexed="64"/>
        </right>
      </border>
    </dxf>
    <dxf>
      <font>
        <condense val="0"/>
        <extend val="0"/>
        <color indexed="57"/>
      </font>
      <fill>
        <patternFill patternType="solid">
          <bgColor indexed="43"/>
        </patternFill>
      </fill>
      <border>
        <left style="dotted">
          <color indexed="64"/>
        </left>
      </border>
    </dxf>
    <dxf>
      <font>
        <condense val="0"/>
        <extend val="0"/>
        <color auto="1"/>
      </font>
      <fill>
        <patternFill patternType="solid">
          <bgColor indexed="41"/>
        </patternFill>
      </fill>
      <border>
        <right style="thin">
          <color indexed="64"/>
        </right>
      </border>
    </dxf>
    <dxf>
      <font>
        <condense val="0"/>
        <extend val="0"/>
        <color auto="1"/>
      </font>
      <fill>
        <patternFill patternType="solid">
          <bgColor indexed="41"/>
        </patternFill>
      </fill>
      <border>
        <left style="dotted">
          <color indexed="64"/>
        </left>
      </border>
    </dxf>
    <dxf>
      <font>
        <condense val="0"/>
        <extend val="0"/>
        <color indexed="9"/>
      </font>
      <fill>
        <patternFill patternType="solid">
          <bgColor indexed="55"/>
        </patternFill>
      </fill>
      <border>
        <right style="thin">
          <color indexed="64"/>
        </right>
      </border>
    </dxf>
    <dxf>
      <font>
        <condense val="0"/>
        <extend val="0"/>
        <color indexed="9"/>
      </font>
      <fill>
        <patternFill patternType="solid">
          <bgColor indexed="55"/>
        </patternFill>
      </fill>
      <border>
        <left style="dotted">
          <color indexed="64"/>
        </left>
      </border>
    </dxf>
    <dxf>
      <font>
        <condense val="0"/>
        <extend val="0"/>
        <color indexed="55"/>
      </font>
      <fill>
        <patternFill patternType="solid">
          <bgColor indexed="22"/>
        </patternFill>
      </fill>
      <border>
        <right style="thin">
          <color indexed="64"/>
        </right>
      </border>
    </dxf>
    <dxf>
      <font>
        <condense val="0"/>
        <extend val="0"/>
        <color indexed="55"/>
      </font>
      <fill>
        <patternFill patternType="solid">
          <bgColor indexed="22"/>
        </patternFill>
      </fill>
      <border>
        <left style="dotted">
          <color indexed="64"/>
        </left>
      </border>
    </dxf>
    <dxf>
      <fill>
        <patternFill>
          <bgColor indexed="2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border>
        <right style="thin">
          <color indexed="64"/>
        </right>
      </border>
    </dxf>
    <dxf>
      <font>
        <condense val="0"/>
        <extend val="0"/>
        <color indexed="57"/>
      </font>
      <fill>
        <patternFill patternType="solid">
          <bgColor indexed="42"/>
        </patternFill>
      </fill>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dxf>
    <dxf>
      <font>
        <b val="0"/>
        <i val="0"/>
        <condense val="0"/>
        <extend val="0"/>
        <color auto="1"/>
      </font>
      <fill>
        <patternFill>
          <bgColor indexed="22"/>
        </patternFill>
      </fill>
      <border>
        <right style="thin">
          <color indexed="64"/>
        </right>
      </border>
    </dxf>
    <dxf>
      <font>
        <condense val="0"/>
        <extend val="0"/>
        <color auto="1"/>
      </font>
      <fill>
        <patternFill patternType="solid">
          <bgColor indexed="22"/>
        </patternFill>
      </fill>
      <border>
        <left style="dotted">
          <color indexed="64"/>
        </left>
        <right/>
      </border>
    </dxf>
    <dxf>
      <font>
        <b/>
        <i/>
        <condense val="0"/>
        <extend val="0"/>
        <color indexed="9"/>
      </font>
      <fill>
        <patternFill patternType="solid">
          <bgColor indexed="10"/>
        </patternFill>
      </fill>
      <border>
        <left/>
        <right/>
        <top/>
        <bottom style="thin">
          <color indexed="64"/>
        </bottom>
      </border>
    </dxf>
    <dxf>
      <font>
        <condense val="0"/>
        <extend val="0"/>
        <color auto="1"/>
      </font>
      <fill>
        <patternFill patternType="solid">
          <bgColor indexed="42"/>
        </patternFill>
      </fill>
      <border>
        <right style="thin">
          <color indexed="64"/>
        </right>
      </border>
    </dxf>
    <dxf>
      <font>
        <condense val="0"/>
        <extend val="0"/>
        <color auto="1"/>
      </font>
      <fill>
        <patternFill patternType="solid">
          <bgColor indexed="42"/>
        </patternFill>
      </fill>
      <border>
        <left style="dotted">
          <color indexed="64"/>
        </left>
      </border>
    </dxf>
    <dxf>
      <font>
        <condense val="0"/>
        <extend val="0"/>
        <color indexed="57"/>
      </font>
      <fill>
        <patternFill patternType="solid">
          <bgColor indexed="43"/>
        </patternFill>
      </fill>
      <border>
        <right style="thin">
          <color indexed="64"/>
        </right>
      </border>
    </dxf>
    <dxf>
      <font>
        <condense val="0"/>
        <extend val="0"/>
        <color indexed="57"/>
      </font>
      <fill>
        <patternFill patternType="solid">
          <bgColor indexed="43"/>
        </patternFill>
      </fill>
      <border>
        <left style="dotted">
          <color indexed="64"/>
        </left>
      </border>
    </dxf>
    <dxf>
      <font>
        <condense val="0"/>
        <extend val="0"/>
        <color auto="1"/>
      </font>
      <fill>
        <patternFill patternType="solid">
          <bgColor indexed="41"/>
        </patternFill>
      </fill>
      <border>
        <right style="thin">
          <color indexed="64"/>
        </right>
      </border>
    </dxf>
    <dxf>
      <font>
        <condense val="0"/>
        <extend val="0"/>
        <color auto="1"/>
      </font>
      <fill>
        <patternFill patternType="solid">
          <bgColor indexed="41"/>
        </patternFill>
      </fill>
      <border>
        <left style="dotted">
          <color indexed="64"/>
        </left>
      </border>
    </dxf>
    <dxf>
      <font>
        <condense val="0"/>
        <extend val="0"/>
        <color indexed="9"/>
      </font>
      <fill>
        <patternFill patternType="solid">
          <bgColor indexed="55"/>
        </patternFill>
      </fill>
      <border>
        <right style="thin">
          <color indexed="64"/>
        </right>
      </border>
    </dxf>
    <dxf>
      <font>
        <condense val="0"/>
        <extend val="0"/>
        <color indexed="9"/>
      </font>
      <fill>
        <patternFill patternType="solid">
          <bgColor indexed="55"/>
        </patternFill>
      </fill>
      <border>
        <left style="dotted">
          <color indexed="64"/>
        </left>
      </border>
    </dxf>
    <dxf>
      <font>
        <condense val="0"/>
        <extend val="0"/>
        <color indexed="55"/>
      </font>
      <fill>
        <patternFill patternType="solid">
          <bgColor indexed="22"/>
        </patternFill>
      </fill>
      <border>
        <right style="thin">
          <color indexed="64"/>
        </right>
      </border>
    </dxf>
    <dxf>
      <font>
        <condense val="0"/>
        <extend val="0"/>
        <color indexed="55"/>
      </font>
      <fill>
        <patternFill patternType="solid">
          <bgColor indexed="22"/>
        </patternFill>
      </fill>
      <border>
        <left style="dotted">
          <color indexed="64"/>
        </left>
      </border>
    </dxf>
    <dxf>
      <fill>
        <patternFill>
          <bgColor indexed="2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border>
        <right style="thin">
          <color indexed="64"/>
        </right>
      </border>
    </dxf>
    <dxf>
      <font>
        <condense val="0"/>
        <extend val="0"/>
        <color indexed="57"/>
      </font>
      <fill>
        <patternFill patternType="solid">
          <bgColor indexed="42"/>
        </patternFill>
      </fill>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dxf>
    <dxf>
      <font>
        <b val="0"/>
        <i val="0"/>
        <condense val="0"/>
        <extend val="0"/>
        <color auto="1"/>
      </font>
      <fill>
        <patternFill>
          <bgColor indexed="22"/>
        </patternFill>
      </fill>
      <border>
        <right style="thin">
          <color indexed="64"/>
        </right>
      </border>
    </dxf>
    <dxf>
      <font>
        <condense val="0"/>
        <extend val="0"/>
        <color auto="1"/>
      </font>
      <fill>
        <patternFill patternType="solid">
          <bgColor indexed="22"/>
        </patternFill>
      </fill>
      <border>
        <left style="dotted">
          <color indexed="64"/>
        </left>
        <right/>
      </border>
    </dxf>
    <dxf>
      <font>
        <b/>
        <i/>
        <condense val="0"/>
        <extend val="0"/>
        <color indexed="9"/>
      </font>
      <fill>
        <patternFill patternType="solid">
          <bgColor indexed="10"/>
        </patternFill>
      </fill>
      <border>
        <left/>
        <right/>
        <top/>
        <bottom style="thin">
          <color indexed="64"/>
        </bottom>
      </border>
    </dxf>
    <dxf>
      <font>
        <condense val="0"/>
        <extend val="0"/>
        <color auto="1"/>
      </font>
      <fill>
        <patternFill patternType="solid">
          <bgColor indexed="42"/>
        </patternFill>
      </fill>
      <border>
        <right style="thin">
          <color indexed="64"/>
        </right>
      </border>
    </dxf>
    <dxf>
      <font>
        <condense val="0"/>
        <extend val="0"/>
        <color auto="1"/>
      </font>
      <fill>
        <patternFill patternType="solid">
          <bgColor indexed="42"/>
        </patternFill>
      </fill>
      <border>
        <left style="dotted">
          <color indexed="64"/>
        </left>
      </border>
    </dxf>
    <dxf>
      <font>
        <condense val="0"/>
        <extend val="0"/>
        <color indexed="57"/>
      </font>
      <fill>
        <patternFill patternType="solid">
          <bgColor indexed="43"/>
        </patternFill>
      </fill>
      <border>
        <right style="thin">
          <color indexed="64"/>
        </right>
      </border>
    </dxf>
    <dxf>
      <font>
        <condense val="0"/>
        <extend val="0"/>
        <color indexed="57"/>
      </font>
      <fill>
        <patternFill patternType="solid">
          <bgColor indexed="43"/>
        </patternFill>
      </fill>
      <border>
        <left style="dotted">
          <color indexed="64"/>
        </left>
      </border>
    </dxf>
    <dxf>
      <font>
        <condense val="0"/>
        <extend val="0"/>
        <color auto="1"/>
      </font>
      <fill>
        <patternFill patternType="solid">
          <bgColor indexed="41"/>
        </patternFill>
      </fill>
      <border>
        <right style="thin">
          <color indexed="64"/>
        </right>
      </border>
    </dxf>
    <dxf>
      <font>
        <condense val="0"/>
        <extend val="0"/>
        <color auto="1"/>
      </font>
      <fill>
        <patternFill patternType="solid">
          <bgColor indexed="41"/>
        </patternFill>
      </fill>
      <border>
        <left style="dotted">
          <color indexed="64"/>
        </left>
      </border>
    </dxf>
    <dxf>
      <font>
        <condense val="0"/>
        <extend val="0"/>
        <color indexed="9"/>
      </font>
      <fill>
        <patternFill patternType="solid">
          <bgColor indexed="55"/>
        </patternFill>
      </fill>
      <border>
        <right style="thin">
          <color indexed="64"/>
        </right>
      </border>
    </dxf>
    <dxf>
      <font>
        <condense val="0"/>
        <extend val="0"/>
        <color indexed="9"/>
      </font>
      <fill>
        <patternFill patternType="solid">
          <bgColor indexed="55"/>
        </patternFill>
      </fill>
      <border>
        <left style="dotted">
          <color indexed="64"/>
        </left>
      </border>
    </dxf>
    <dxf>
      <font>
        <condense val="0"/>
        <extend val="0"/>
        <color indexed="55"/>
      </font>
      <fill>
        <patternFill patternType="solid">
          <bgColor indexed="22"/>
        </patternFill>
      </fill>
      <border>
        <right style="thin">
          <color indexed="64"/>
        </right>
      </border>
    </dxf>
    <dxf>
      <font>
        <condense val="0"/>
        <extend val="0"/>
        <color indexed="55"/>
      </font>
      <fill>
        <patternFill patternType="solid">
          <bgColor indexed="22"/>
        </patternFill>
      </fill>
      <border>
        <left style="dotted">
          <color indexed="64"/>
        </left>
      </border>
    </dxf>
    <dxf>
      <fill>
        <patternFill>
          <bgColor indexed="2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border>
        <right style="thin">
          <color indexed="64"/>
        </right>
      </border>
    </dxf>
    <dxf>
      <font>
        <condense val="0"/>
        <extend val="0"/>
        <color indexed="57"/>
      </font>
      <fill>
        <patternFill patternType="solid">
          <bgColor indexed="42"/>
        </patternFill>
      </fill>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dxf>
    <dxf>
      <font>
        <b val="0"/>
        <i val="0"/>
        <condense val="0"/>
        <extend val="0"/>
        <color auto="1"/>
      </font>
      <fill>
        <patternFill>
          <bgColor indexed="22"/>
        </patternFill>
      </fill>
      <border>
        <right style="thin">
          <color indexed="64"/>
        </right>
      </border>
    </dxf>
    <dxf>
      <font>
        <condense val="0"/>
        <extend val="0"/>
        <color auto="1"/>
      </font>
      <fill>
        <patternFill patternType="solid">
          <bgColor indexed="22"/>
        </patternFill>
      </fill>
      <border>
        <left style="dotted">
          <color indexed="64"/>
        </left>
        <right/>
      </border>
    </dxf>
    <dxf>
      <font>
        <b/>
        <i/>
        <condense val="0"/>
        <extend val="0"/>
        <color indexed="9"/>
      </font>
      <fill>
        <patternFill patternType="solid">
          <bgColor indexed="10"/>
        </patternFill>
      </fill>
      <border>
        <left/>
        <right/>
        <top/>
        <bottom style="thin">
          <color indexed="64"/>
        </bottom>
      </border>
    </dxf>
    <dxf>
      <font>
        <condense val="0"/>
        <extend val="0"/>
        <color auto="1"/>
      </font>
      <fill>
        <patternFill patternType="solid">
          <bgColor indexed="42"/>
        </patternFill>
      </fill>
      <border>
        <right style="thin">
          <color indexed="64"/>
        </right>
      </border>
    </dxf>
    <dxf>
      <font>
        <condense val="0"/>
        <extend val="0"/>
        <color auto="1"/>
      </font>
      <fill>
        <patternFill patternType="solid">
          <bgColor indexed="42"/>
        </patternFill>
      </fill>
      <border>
        <left style="dotted">
          <color indexed="64"/>
        </left>
      </border>
    </dxf>
    <dxf>
      <font>
        <condense val="0"/>
        <extend val="0"/>
        <color indexed="57"/>
      </font>
      <fill>
        <patternFill patternType="solid">
          <bgColor indexed="43"/>
        </patternFill>
      </fill>
      <border>
        <right style="thin">
          <color indexed="64"/>
        </right>
      </border>
    </dxf>
    <dxf>
      <font>
        <condense val="0"/>
        <extend val="0"/>
        <color indexed="57"/>
      </font>
      <fill>
        <patternFill patternType="solid">
          <bgColor indexed="43"/>
        </patternFill>
      </fill>
      <border>
        <left style="dotted">
          <color indexed="64"/>
        </left>
      </border>
    </dxf>
    <dxf>
      <font>
        <condense val="0"/>
        <extend val="0"/>
        <color auto="1"/>
      </font>
      <fill>
        <patternFill patternType="solid">
          <bgColor indexed="41"/>
        </patternFill>
      </fill>
      <border>
        <right style="thin">
          <color indexed="64"/>
        </right>
      </border>
    </dxf>
    <dxf>
      <font>
        <condense val="0"/>
        <extend val="0"/>
        <color auto="1"/>
      </font>
      <fill>
        <patternFill patternType="solid">
          <bgColor indexed="41"/>
        </patternFill>
      </fill>
      <border>
        <left style="dotted">
          <color indexed="64"/>
        </left>
      </border>
    </dxf>
    <dxf>
      <font>
        <condense val="0"/>
        <extend val="0"/>
        <color indexed="9"/>
      </font>
      <fill>
        <patternFill patternType="solid">
          <bgColor indexed="55"/>
        </patternFill>
      </fill>
      <border>
        <right style="thin">
          <color indexed="64"/>
        </right>
      </border>
    </dxf>
    <dxf>
      <font>
        <condense val="0"/>
        <extend val="0"/>
        <color indexed="9"/>
      </font>
      <fill>
        <patternFill patternType="solid">
          <bgColor indexed="55"/>
        </patternFill>
      </fill>
      <border>
        <left style="dotted">
          <color indexed="64"/>
        </left>
      </border>
    </dxf>
    <dxf>
      <font>
        <condense val="0"/>
        <extend val="0"/>
        <color indexed="55"/>
      </font>
      <fill>
        <patternFill patternType="solid">
          <bgColor indexed="22"/>
        </patternFill>
      </fill>
      <border>
        <right style="thin">
          <color indexed="64"/>
        </right>
      </border>
    </dxf>
    <dxf>
      <font>
        <condense val="0"/>
        <extend val="0"/>
        <color indexed="55"/>
      </font>
      <fill>
        <patternFill patternType="solid">
          <bgColor indexed="22"/>
        </patternFill>
      </fill>
      <border>
        <left style="dotted">
          <color indexed="64"/>
        </left>
      </border>
    </dxf>
    <dxf>
      <fill>
        <patternFill>
          <bgColor indexed="2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border>
        <right style="thin">
          <color indexed="64"/>
        </right>
      </border>
    </dxf>
    <dxf>
      <font>
        <condense val="0"/>
        <extend val="0"/>
        <color indexed="57"/>
      </font>
      <fill>
        <patternFill patternType="solid">
          <bgColor indexed="42"/>
        </patternFill>
      </fill>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dxf>
    <dxf>
      <font>
        <b val="0"/>
        <i val="0"/>
        <condense val="0"/>
        <extend val="0"/>
        <color auto="1"/>
      </font>
      <fill>
        <patternFill>
          <bgColor indexed="22"/>
        </patternFill>
      </fill>
      <border>
        <right style="thin">
          <color indexed="64"/>
        </right>
      </border>
    </dxf>
    <dxf>
      <font>
        <condense val="0"/>
        <extend val="0"/>
        <color auto="1"/>
      </font>
      <fill>
        <patternFill patternType="solid">
          <bgColor indexed="22"/>
        </patternFill>
      </fill>
      <border>
        <left style="dotted">
          <color indexed="64"/>
        </left>
        <right/>
      </border>
    </dxf>
    <dxf>
      <font>
        <b/>
        <i/>
        <condense val="0"/>
        <extend val="0"/>
        <color indexed="9"/>
      </font>
      <fill>
        <patternFill patternType="solid">
          <bgColor indexed="10"/>
        </patternFill>
      </fill>
      <border>
        <left/>
        <right/>
        <top/>
        <bottom style="thin">
          <color indexed="64"/>
        </bottom>
      </border>
    </dxf>
    <dxf>
      <font>
        <condense val="0"/>
        <extend val="0"/>
        <color auto="1"/>
      </font>
      <fill>
        <patternFill patternType="solid">
          <bgColor indexed="42"/>
        </patternFill>
      </fill>
      <border>
        <right style="thin">
          <color indexed="64"/>
        </right>
      </border>
    </dxf>
    <dxf>
      <font>
        <condense val="0"/>
        <extend val="0"/>
        <color auto="1"/>
      </font>
      <fill>
        <patternFill patternType="solid">
          <bgColor indexed="42"/>
        </patternFill>
      </fill>
      <border>
        <left style="dotted">
          <color indexed="64"/>
        </left>
      </border>
    </dxf>
    <dxf>
      <font>
        <condense val="0"/>
        <extend val="0"/>
        <color indexed="57"/>
      </font>
      <fill>
        <patternFill patternType="solid">
          <bgColor indexed="43"/>
        </patternFill>
      </fill>
      <border>
        <right style="thin">
          <color indexed="64"/>
        </right>
      </border>
    </dxf>
    <dxf>
      <font>
        <condense val="0"/>
        <extend val="0"/>
        <color indexed="57"/>
      </font>
      <fill>
        <patternFill patternType="solid">
          <bgColor indexed="43"/>
        </patternFill>
      </fill>
      <border>
        <left style="dotted">
          <color indexed="64"/>
        </left>
      </border>
    </dxf>
    <dxf>
      <font>
        <condense val="0"/>
        <extend val="0"/>
        <color auto="1"/>
      </font>
      <fill>
        <patternFill patternType="solid">
          <bgColor indexed="41"/>
        </patternFill>
      </fill>
      <border>
        <right style="thin">
          <color indexed="64"/>
        </right>
      </border>
    </dxf>
    <dxf>
      <font>
        <condense val="0"/>
        <extend val="0"/>
        <color auto="1"/>
      </font>
      <fill>
        <patternFill patternType="solid">
          <bgColor indexed="41"/>
        </patternFill>
      </fill>
      <border>
        <left style="dotted">
          <color indexed="64"/>
        </left>
      </border>
    </dxf>
    <dxf>
      <font>
        <condense val="0"/>
        <extend val="0"/>
        <color indexed="9"/>
      </font>
      <fill>
        <patternFill patternType="solid">
          <bgColor indexed="55"/>
        </patternFill>
      </fill>
      <border>
        <right style="thin">
          <color indexed="64"/>
        </right>
      </border>
    </dxf>
    <dxf>
      <font>
        <condense val="0"/>
        <extend val="0"/>
        <color indexed="9"/>
      </font>
      <fill>
        <patternFill patternType="solid">
          <bgColor indexed="55"/>
        </patternFill>
      </fill>
      <border>
        <left style="dotted">
          <color indexed="64"/>
        </left>
      </border>
    </dxf>
    <dxf>
      <font>
        <condense val="0"/>
        <extend val="0"/>
        <color indexed="55"/>
      </font>
      <fill>
        <patternFill patternType="solid">
          <bgColor indexed="22"/>
        </patternFill>
      </fill>
      <border>
        <right style="thin">
          <color indexed="64"/>
        </right>
      </border>
    </dxf>
    <dxf>
      <font>
        <condense val="0"/>
        <extend val="0"/>
        <color indexed="55"/>
      </font>
      <fill>
        <patternFill patternType="solid">
          <bgColor indexed="2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ill>
        <patternFill>
          <bgColor indexed="2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border>
        <right style="thin">
          <color indexed="64"/>
        </right>
      </border>
    </dxf>
    <dxf>
      <font>
        <condense val="0"/>
        <extend val="0"/>
        <color indexed="57"/>
      </font>
      <fill>
        <patternFill patternType="solid">
          <bgColor indexed="42"/>
        </patternFill>
      </fill>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dxf>
    <dxf>
      <font>
        <b val="0"/>
        <i val="0"/>
        <condense val="0"/>
        <extend val="0"/>
        <color auto="1"/>
      </font>
      <fill>
        <patternFill>
          <bgColor indexed="22"/>
        </patternFill>
      </fill>
      <border>
        <right style="thin">
          <color indexed="64"/>
        </right>
      </border>
    </dxf>
    <dxf>
      <font>
        <condense val="0"/>
        <extend val="0"/>
        <color auto="1"/>
      </font>
      <fill>
        <patternFill patternType="solid">
          <bgColor indexed="22"/>
        </patternFill>
      </fill>
      <border>
        <left style="dotted">
          <color indexed="64"/>
        </left>
        <right/>
      </border>
    </dxf>
    <dxf>
      <font>
        <b/>
        <i/>
        <condense val="0"/>
        <extend val="0"/>
        <color indexed="9"/>
      </font>
      <fill>
        <patternFill patternType="solid">
          <bgColor indexed="10"/>
        </patternFill>
      </fill>
      <border>
        <left/>
        <right/>
        <top/>
        <bottom style="thin">
          <color indexed="64"/>
        </bottom>
      </border>
    </dxf>
    <dxf>
      <font>
        <condense val="0"/>
        <extend val="0"/>
        <color auto="1"/>
      </font>
      <fill>
        <patternFill patternType="solid">
          <bgColor indexed="42"/>
        </patternFill>
      </fill>
      <border>
        <right style="thin">
          <color indexed="64"/>
        </right>
      </border>
    </dxf>
    <dxf>
      <font>
        <condense val="0"/>
        <extend val="0"/>
        <color auto="1"/>
      </font>
      <fill>
        <patternFill patternType="solid">
          <bgColor indexed="42"/>
        </patternFill>
      </fill>
      <border>
        <left style="dotted">
          <color indexed="64"/>
        </left>
      </border>
    </dxf>
    <dxf>
      <font>
        <condense val="0"/>
        <extend val="0"/>
        <color indexed="57"/>
      </font>
      <fill>
        <patternFill patternType="solid">
          <bgColor indexed="43"/>
        </patternFill>
      </fill>
      <border>
        <right style="thin">
          <color indexed="64"/>
        </right>
      </border>
    </dxf>
    <dxf>
      <font>
        <condense val="0"/>
        <extend val="0"/>
        <color indexed="57"/>
      </font>
      <fill>
        <patternFill patternType="solid">
          <bgColor indexed="43"/>
        </patternFill>
      </fill>
      <border>
        <left style="dotted">
          <color indexed="64"/>
        </left>
      </border>
    </dxf>
    <dxf>
      <font>
        <condense val="0"/>
        <extend val="0"/>
        <color auto="1"/>
      </font>
      <fill>
        <patternFill patternType="solid">
          <bgColor indexed="41"/>
        </patternFill>
      </fill>
      <border>
        <right style="thin">
          <color indexed="64"/>
        </right>
      </border>
    </dxf>
    <dxf>
      <font>
        <condense val="0"/>
        <extend val="0"/>
        <color auto="1"/>
      </font>
      <fill>
        <patternFill patternType="solid">
          <bgColor indexed="41"/>
        </patternFill>
      </fill>
      <border>
        <left style="dotted">
          <color indexed="64"/>
        </left>
      </border>
    </dxf>
    <dxf>
      <font>
        <condense val="0"/>
        <extend val="0"/>
        <color indexed="9"/>
      </font>
      <fill>
        <patternFill patternType="solid">
          <bgColor indexed="55"/>
        </patternFill>
      </fill>
      <border>
        <right style="thin">
          <color indexed="64"/>
        </right>
      </border>
    </dxf>
    <dxf>
      <font>
        <condense val="0"/>
        <extend val="0"/>
        <color indexed="9"/>
      </font>
      <fill>
        <patternFill patternType="solid">
          <bgColor indexed="55"/>
        </patternFill>
      </fill>
      <border>
        <left style="dotted">
          <color indexed="64"/>
        </left>
      </border>
    </dxf>
    <dxf>
      <font>
        <condense val="0"/>
        <extend val="0"/>
        <color indexed="55"/>
      </font>
      <fill>
        <patternFill patternType="solid">
          <bgColor indexed="22"/>
        </patternFill>
      </fill>
      <border>
        <right style="thin">
          <color indexed="64"/>
        </right>
      </border>
    </dxf>
    <dxf>
      <font>
        <condense val="0"/>
        <extend val="0"/>
        <color indexed="55"/>
      </font>
      <fill>
        <patternFill patternType="solid">
          <bgColor indexed="2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ill>
        <patternFill>
          <bgColor indexed="2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border>
        <right style="thin">
          <color indexed="64"/>
        </right>
      </border>
    </dxf>
    <dxf>
      <font>
        <condense val="0"/>
        <extend val="0"/>
        <color indexed="57"/>
      </font>
      <fill>
        <patternFill patternType="solid">
          <bgColor indexed="42"/>
        </patternFill>
      </fill>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dxf>
    <dxf>
      <font>
        <b val="0"/>
        <i val="0"/>
        <condense val="0"/>
        <extend val="0"/>
        <color auto="1"/>
      </font>
      <fill>
        <patternFill>
          <bgColor indexed="22"/>
        </patternFill>
      </fill>
      <border>
        <right style="thin">
          <color indexed="64"/>
        </right>
      </border>
    </dxf>
    <dxf>
      <font>
        <condense val="0"/>
        <extend val="0"/>
        <color auto="1"/>
      </font>
      <fill>
        <patternFill patternType="solid">
          <bgColor indexed="22"/>
        </patternFill>
      </fill>
      <border>
        <left style="dotted">
          <color indexed="64"/>
        </left>
        <right/>
      </border>
    </dxf>
    <dxf>
      <font>
        <b/>
        <i/>
        <condense val="0"/>
        <extend val="0"/>
        <color indexed="9"/>
      </font>
      <fill>
        <patternFill patternType="solid">
          <bgColor indexed="10"/>
        </patternFill>
      </fill>
      <border>
        <left/>
        <right/>
        <top/>
        <bottom style="thin">
          <color indexed="64"/>
        </bottom>
      </border>
    </dxf>
    <dxf>
      <font>
        <condense val="0"/>
        <extend val="0"/>
        <color auto="1"/>
      </font>
      <fill>
        <patternFill patternType="solid">
          <bgColor indexed="42"/>
        </patternFill>
      </fill>
      <border>
        <right style="thin">
          <color indexed="64"/>
        </right>
      </border>
    </dxf>
    <dxf>
      <font>
        <condense val="0"/>
        <extend val="0"/>
        <color auto="1"/>
      </font>
      <fill>
        <patternFill patternType="solid">
          <bgColor indexed="42"/>
        </patternFill>
      </fill>
      <border>
        <left style="dotted">
          <color indexed="64"/>
        </left>
      </border>
    </dxf>
    <dxf>
      <font>
        <condense val="0"/>
        <extend val="0"/>
        <color indexed="57"/>
      </font>
      <fill>
        <patternFill patternType="solid">
          <bgColor indexed="43"/>
        </patternFill>
      </fill>
      <border>
        <right style="thin">
          <color indexed="64"/>
        </right>
      </border>
    </dxf>
    <dxf>
      <font>
        <condense val="0"/>
        <extend val="0"/>
        <color indexed="57"/>
      </font>
      <fill>
        <patternFill patternType="solid">
          <bgColor indexed="43"/>
        </patternFill>
      </fill>
      <border>
        <left style="dotted">
          <color indexed="64"/>
        </left>
      </border>
    </dxf>
    <dxf>
      <font>
        <condense val="0"/>
        <extend val="0"/>
        <color auto="1"/>
      </font>
      <fill>
        <patternFill patternType="solid">
          <bgColor indexed="41"/>
        </patternFill>
      </fill>
      <border>
        <right style="thin">
          <color indexed="64"/>
        </right>
      </border>
    </dxf>
    <dxf>
      <font>
        <condense val="0"/>
        <extend val="0"/>
        <color auto="1"/>
      </font>
      <fill>
        <patternFill patternType="solid">
          <bgColor indexed="41"/>
        </patternFill>
      </fill>
      <border>
        <left style="dotted">
          <color indexed="64"/>
        </left>
      </border>
    </dxf>
    <dxf>
      <font>
        <condense val="0"/>
        <extend val="0"/>
        <color indexed="9"/>
      </font>
      <fill>
        <patternFill patternType="solid">
          <bgColor indexed="55"/>
        </patternFill>
      </fill>
      <border>
        <right style="thin">
          <color indexed="64"/>
        </right>
      </border>
    </dxf>
    <dxf>
      <font>
        <condense val="0"/>
        <extend val="0"/>
        <color indexed="9"/>
      </font>
      <fill>
        <patternFill patternType="solid">
          <bgColor indexed="55"/>
        </patternFill>
      </fill>
      <border>
        <left style="dotted">
          <color indexed="64"/>
        </left>
      </border>
    </dxf>
    <dxf>
      <font>
        <condense val="0"/>
        <extend val="0"/>
        <color indexed="55"/>
      </font>
      <fill>
        <patternFill patternType="solid">
          <bgColor indexed="22"/>
        </patternFill>
      </fill>
      <border>
        <right style="thin">
          <color indexed="64"/>
        </right>
      </border>
    </dxf>
    <dxf>
      <font>
        <condense val="0"/>
        <extend val="0"/>
        <color indexed="55"/>
      </font>
      <fill>
        <patternFill patternType="solid">
          <bgColor indexed="22"/>
        </patternFill>
      </fill>
      <border>
        <left style="dotted">
          <color indexed="64"/>
        </left>
      </border>
    </dxf>
    <dxf>
      <fill>
        <patternFill>
          <bgColor indexed="2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border>
        <right style="thin">
          <color indexed="64"/>
        </right>
      </border>
    </dxf>
    <dxf>
      <font>
        <condense val="0"/>
        <extend val="0"/>
        <color indexed="10"/>
      </font>
      <fill>
        <patternFill>
          <bgColor indexed="43"/>
        </patternFill>
      </fill>
      <border>
        <right style="thin">
          <color indexed="64"/>
        </right>
      </border>
    </dxf>
    <dxf>
      <fill>
        <patternFill>
          <bgColor indexed="43"/>
        </patternFill>
      </fill>
      <border>
        <left style="dotted">
          <color indexed="64"/>
        </left>
      </border>
    </dxf>
    <dxf>
      <font>
        <b val="0"/>
        <i val="0"/>
        <condense val="0"/>
        <extend val="0"/>
        <color indexed="8"/>
      </font>
    </dxf>
    <dxf>
      <font>
        <b val="0"/>
        <i val="0"/>
        <condense val="0"/>
        <extend val="0"/>
        <color indexed="8"/>
      </font>
    </dxf>
    <dxf>
      <font>
        <b/>
        <i/>
        <condense val="0"/>
        <extend val="0"/>
        <color indexed="10"/>
      </font>
    </dxf>
    <dxf>
      <font>
        <condense val="0"/>
        <extend val="0"/>
        <color indexed="10"/>
      </font>
      <fill>
        <patternFill>
          <bgColor indexed="43"/>
        </patternFill>
      </fill>
      <border>
        <right style="thin">
          <color indexed="64"/>
        </right>
      </border>
    </dxf>
    <dxf>
      <fill>
        <patternFill>
          <bgColor indexed="43"/>
        </patternFill>
      </fill>
      <border>
        <left style="dotted">
          <color indexed="64"/>
        </left>
      </border>
    </dxf>
    <dxf>
      <font>
        <condense val="0"/>
        <extend val="0"/>
        <color indexed="10"/>
      </font>
      <fill>
        <patternFill>
          <bgColor indexed="43"/>
        </patternFill>
      </fill>
      <border>
        <right style="thin">
          <color indexed="64"/>
        </right>
      </border>
    </dxf>
    <dxf>
      <fill>
        <patternFill>
          <bgColor indexed="43"/>
        </patternFill>
      </fill>
      <border>
        <left style="dotted">
          <color indexed="64"/>
        </left>
      </border>
    </dxf>
    <dxf>
      <font>
        <condense val="0"/>
        <extend val="0"/>
        <color auto="1"/>
      </font>
      <fill>
        <patternFill patternType="solid">
          <bgColor indexed="41"/>
        </patternFill>
      </fill>
      <border>
        <right style="thin">
          <color indexed="64"/>
        </right>
      </border>
    </dxf>
    <dxf>
      <font>
        <condense val="0"/>
        <extend val="0"/>
        <color auto="1"/>
      </font>
      <fill>
        <patternFill patternType="solid">
          <bgColor indexed="41"/>
        </patternFill>
      </fill>
      <border>
        <left style="dotted">
          <color indexed="64"/>
        </left>
      </border>
    </dxf>
    <dxf>
      <font>
        <condense val="0"/>
        <extend val="0"/>
        <color auto="1"/>
      </font>
      <fill>
        <patternFill patternType="solid">
          <bgColor indexed="43"/>
        </patternFill>
      </fill>
      <border>
        <right style="thin">
          <color indexed="64"/>
        </right>
      </border>
    </dxf>
    <dxf>
      <font>
        <condense val="0"/>
        <extend val="0"/>
        <color auto="1"/>
      </font>
      <fill>
        <patternFill patternType="solid">
          <bgColor indexed="43"/>
        </patternFill>
      </fill>
      <border>
        <left style="dotted">
          <color indexed="64"/>
        </left>
      </border>
    </dxf>
    <dxf>
      <font>
        <condense val="0"/>
        <extend val="0"/>
        <color indexed="57"/>
      </font>
      <fill>
        <patternFill patternType="solid">
          <bgColor indexed="43"/>
        </patternFill>
      </fill>
      <border>
        <right style="thin">
          <color indexed="64"/>
        </right>
      </border>
    </dxf>
    <dxf>
      <font>
        <condense val="0"/>
        <extend val="0"/>
        <color indexed="57"/>
      </font>
      <fill>
        <patternFill patternType="solid">
          <bgColor indexed="43"/>
        </patternFill>
      </fill>
      <border>
        <left style="dotted">
          <color indexed="64"/>
        </left>
      </border>
    </dxf>
    <dxf>
      <font>
        <color theme="0"/>
      </font>
    </dxf>
    <dxf>
      <font>
        <color theme="0"/>
      </font>
    </dxf>
    <dxf>
      <font>
        <b/>
        <i val="0"/>
        <condense val="0"/>
        <extend val="0"/>
        <color indexed="9"/>
      </font>
      <fill>
        <patternFill>
          <bgColor indexed="10"/>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08406482943919"/>
          <c:y val="0.320475241786503"/>
          <c:w val="0.59019314917731802"/>
          <c:h val="0.39465932553337901"/>
        </c:manualLayout>
      </c:layout>
      <c:pie3DChart>
        <c:varyColors val="1"/>
        <c:ser>
          <c:idx val="0"/>
          <c:order val="0"/>
          <c:spPr>
            <a:solidFill>
              <a:srgbClr val="63AAFE"/>
            </a:solidFill>
            <a:ln w="12700">
              <a:solidFill>
                <a:srgbClr val="000000"/>
              </a:solidFill>
              <a:prstDash val="solid"/>
            </a:ln>
          </c:spPr>
          <c:dPt>
            <c:idx val="0"/>
            <c:bubble3D val="0"/>
            <c:spPr>
              <a:solidFill>
                <a:srgbClr val="99CCFF"/>
              </a:solidFill>
              <a:ln w="12700">
                <a:solidFill>
                  <a:srgbClr val="000000"/>
                </a:solidFill>
                <a:prstDash val="solid"/>
              </a:ln>
            </c:spPr>
            <c:extLst>
              <c:ext xmlns:c16="http://schemas.microsoft.com/office/drawing/2014/chart" uri="{C3380CC4-5D6E-409C-BE32-E72D297353CC}">
                <c16:uniqueId val="{00000001-B291-4C2D-9F01-F310408D7674}"/>
              </c:ext>
            </c:extLst>
          </c:dPt>
          <c:dPt>
            <c:idx val="1"/>
            <c:bubble3D val="0"/>
            <c:spPr>
              <a:solidFill>
                <a:srgbClr val="CC99FF"/>
              </a:solidFill>
              <a:ln w="12700">
                <a:solidFill>
                  <a:srgbClr val="000000"/>
                </a:solidFill>
                <a:prstDash val="solid"/>
              </a:ln>
            </c:spPr>
            <c:extLst>
              <c:ext xmlns:c16="http://schemas.microsoft.com/office/drawing/2014/chart" uri="{C3380CC4-5D6E-409C-BE32-E72D297353CC}">
                <c16:uniqueId val="{00000003-B291-4C2D-9F01-F310408D7674}"/>
              </c:ext>
            </c:extLst>
          </c:dPt>
          <c:dPt>
            <c:idx val="2"/>
            <c:bubble3D val="0"/>
            <c:spPr>
              <a:solidFill>
                <a:srgbClr val="FF9900"/>
              </a:solidFill>
              <a:ln w="12700">
                <a:solidFill>
                  <a:srgbClr val="000000"/>
                </a:solidFill>
                <a:prstDash val="solid"/>
              </a:ln>
            </c:spPr>
            <c:extLst>
              <c:ext xmlns:c16="http://schemas.microsoft.com/office/drawing/2014/chart" uri="{C3380CC4-5D6E-409C-BE32-E72D297353CC}">
                <c16:uniqueId val="{00000005-B291-4C2D-9F01-F310408D7674}"/>
              </c:ext>
            </c:extLst>
          </c:dPt>
          <c:dPt>
            <c:idx val="3"/>
            <c:bubble3D val="0"/>
            <c:spPr>
              <a:solidFill>
                <a:srgbClr val="FFCC99"/>
              </a:solidFill>
              <a:ln w="12700">
                <a:solidFill>
                  <a:srgbClr val="000000"/>
                </a:solidFill>
                <a:prstDash val="solid"/>
              </a:ln>
            </c:spPr>
            <c:extLst>
              <c:ext xmlns:c16="http://schemas.microsoft.com/office/drawing/2014/chart" uri="{C3380CC4-5D6E-409C-BE32-E72D297353CC}">
                <c16:uniqueId val="{00000007-B291-4C2D-9F01-F310408D7674}"/>
              </c:ext>
            </c:extLst>
          </c:dPt>
          <c:dPt>
            <c:idx val="4"/>
            <c:bubble3D val="0"/>
            <c:spPr>
              <a:solidFill>
                <a:srgbClr val="FFFF99"/>
              </a:solidFill>
              <a:ln w="12700">
                <a:solidFill>
                  <a:srgbClr val="000000"/>
                </a:solidFill>
                <a:prstDash val="solid"/>
              </a:ln>
            </c:spPr>
            <c:extLst>
              <c:ext xmlns:c16="http://schemas.microsoft.com/office/drawing/2014/chart" uri="{C3380CC4-5D6E-409C-BE32-E72D297353CC}">
                <c16:uniqueId val="{00000009-B291-4C2D-9F01-F310408D7674}"/>
              </c:ext>
            </c:extLst>
          </c:dPt>
          <c:dLbls>
            <c:spPr>
              <a:noFill/>
              <a:ln w="25400">
                <a:noFill/>
              </a:ln>
            </c:spPr>
            <c:txPr>
              <a:bodyPr/>
              <a:lstStyle/>
              <a:p>
                <a:pPr>
                  <a:defRPr sz="1025" b="0" i="0" u="none" strike="noStrike" baseline="0">
                    <a:solidFill>
                      <a:srgbClr val="000000"/>
                    </a:solidFill>
                    <a:latin typeface="Arial"/>
                    <a:ea typeface="Arial"/>
                    <a:cs typeface="Arial"/>
                  </a:defRPr>
                </a:pPr>
                <a:endParaRPr lang="en-US"/>
              </a:p>
            </c:txPr>
            <c:showLegendKey val="0"/>
            <c:showVal val="1"/>
            <c:showCatName val="1"/>
            <c:showSerName val="0"/>
            <c:showPercent val="0"/>
            <c:showBubbleSize val="0"/>
            <c:showLeaderLines val="0"/>
            <c:extLst>
              <c:ext xmlns:c15="http://schemas.microsoft.com/office/drawing/2012/chart" uri="{CE6537A1-D6FC-4f65-9D91-7224C49458BB}"/>
            </c:extLst>
          </c:dLbls>
          <c:val>
            <c:numRef>
              <c:f>ctMonatsbericht_A!$G$24:$G$28</c:f>
              <c:numCache>
                <c:formatCode>0%;" -";" - "</c:formatCode>
                <c:ptCount val="5"/>
                <c:pt idx="0">
                  <c:v>0</c:v>
                </c:pt>
                <c:pt idx="1">
                  <c:v>0</c:v>
                </c:pt>
                <c:pt idx="2">
                  <c:v>0</c:v>
                </c:pt>
                <c:pt idx="3">
                  <c:v>0</c:v>
                </c:pt>
                <c:pt idx="4">
                  <c:v>0</c:v>
                </c:pt>
              </c:numCache>
            </c:numRef>
          </c:val>
          <c:extLst>
            <c:ext xmlns:c16="http://schemas.microsoft.com/office/drawing/2014/chart" uri="{C3380CC4-5D6E-409C-BE32-E72D297353CC}">
              <c16:uniqueId val="{0000000A-B291-4C2D-9F01-F310408D7674}"/>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423744593988701"/>
          <c:y val="4.2488595508667099E-2"/>
          <c:w val="0.71525468124421598"/>
          <c:h val="0.95295849926581899"/>
        </c:manualLayout>
      </c:layout>
      <c:barChart>
        <c:barDir val="bar"/>
        <c:grouping val="clustered"/>
        <c:varyColors val="0"/>
        <c:ser>
          <c:idx val="0"/>
          <c:order val="0"/>
          <c:spPr>
            <a:solidFill>
              <a:srgbClr val="63AAFE"/>
            </a:solidFill>
            <a:ln w="12700">
              <a:solidFill>
                <a:srgbClr val="000000"/>
              </a:solidFill>
              <a:prstDash val="solid"/>
            </a:ln>
          </c:spPr>
          <c:invertIfNegative val="0"/>
          <c:dPt>
            <c:idx val="0"/>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1EB-4FB3-A00D-CE23AF356CA1}"/>
              </c:ext>
            </c:extLst>
          </c:dPt>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1EB-4FB3-A00D-CE23AF356CA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1EB-4FB3-A00D-CE23AF356CA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1EB-4FB3-A00D-CE23AF356CA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9-A1EB-4FB3-A00D-CE23AF356CA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B-A1EB-4FB3-A00D-CE23AF356CA1}"/>
              </c:ext>
            </c:extLst>
          </c:dPt>
          <c:dPt>
            <c:idx val="6"/>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D-A1EB-4FB3-A00D-CE23AF356CA1}"/>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F-A1EB-4FB3-A00D-CE23AF356CA1}"/>
              </c:ext>
            </c:extLst>
          </c:dPt>
          <c:dPt>
            <c:idx val="8"/>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11-A1EB-4FB3-A00D-CE23AF356CA1}"/>
              </c:ext>
            </c:extLst>
          </c:dPt>
          <c:dPt>
            <c:idx val="9"/>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13-A1EB-4FB3-A00D-CE23AF356CA1}"/>
              </c:ext>
            </c:extLst>
          </c:dPt>
          <c:dPt>
            <c:idx val="10"/>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15-A1EB-4FB3-A00D-CE23AF356CA1}"/>
              </c:ext>
            </c:extLst>
          </c:dPt>
          <c:dPt>
            <c:idx val="11"/>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17-A1EB-4FB3-A00D-CE23AF356CA1}"/>
              </c:ext>
            </c:extLst>
          </c:dPt>
          <c:dPt>
            <c:idx val="12"/>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19-A1EB-4FB3-A00D-CE23AF356CA1}"/>
              </c:ext>
            </c:extLst>
          </c:dPt>
          <c:dPt>
            <c:idx val="13"/>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1B-A1EB-4FB3-A00D-CE23AF356CA1}"/>
              </c:ext>
            </c:extLst>
          </c:dPt>
          <c:dPt>
            <c:idx val="1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1D-A1EB-4FB3-A00D-CE23AF356CA1}"/>
              </c:ext>
            </c:extLst>
          </c:dPt>
          <c:dPt>
            <c:idx val="15"/>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1F-A1EB-4FB3-A00D-CE23AF356CA1}"/>
              </c:ext>
            </c:extLst>
          </c:dPt>
          <c:dPt>
            <c:idx val="16"/>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21-A1EB-4FB3-A00D-CE23AF356CA1}"/>
              </c:ext>
            </c:extLst>
          </c:dPt>
          <c:dPt>
            <c:idx val="17"/>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23-A1EB-4FB3-A00D-CE23AF356CA1}"/>
              </c:ext>
            </c:extLst>
          </c:dPt>
          <c:dPt>
            <c:idx val="18"/>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25-A1EB-4FB3-A00D-CE23AF356CA1}"/>
              </c:ext>
            </c:extLst>
          </c:dPt>
          <c:dPt>
            <c:idx val="19"/>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27-A1EB-4FB3-A00D-CE23AF356CA1}"/>
              </c:ext>
            </c:extLst>
          </c:dPt>
          <c:dPt>
            <c:idx val="20"/>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29-A1EB-4FB3-A00D-CE23AF356CA1}"/>
              </c:ext>
            </c:extLst>
          </c:dPt>
          <c:dPt>
            <c:idx val="21"/>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2B-A1EB-4FB3-A00D-CE23AF356CA1}"/>
              </c:ext>
            </c:extLst>
          </c:dPt>
          <c:dPt>
            <c:idx val="22"/>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2D-A1EB-4FB3-A00D-CE23AF356CA1}"/>
              </c:ext>
            </c:extLst>
          </c:dPt>
          <c:dPt>
            <c:idx val="23"/>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2F-A1EB-4FB3-A00D-CE23AF356CA1}"/>
              </c:ext>
            </c:extLst>
          </c:dPt>
          <c:dPt>
            <c:idx val="24"/>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31-A1EB-4FB3-A00D-CE23AF356CA1}"/>
              </c:ext>
            </c:extLst>
          </c:dPt>
          <c:dPt>
            <c:idx val="25"/>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33-A1EB-4FB3-A00D-CE23AF356CA1}"/>
              </c:ext>
            </c:extLst>
          </c:dPt>
          <c:dPt>
            <c:idx val="26"/>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35-A1EB-4FB3-A00D-CE23AF356CA1}"/>
              </c:ext>
            </c:extLst>
          </c:dPt>
          <c:dPt>
            <c:idx val="27"/>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37-A1EB-4FB3-A00D-CE23AF356CA1}"/>
              </c:ext>
            </c:extLst>
          </c:dPt>
          <c:dPt>
            <c:idx val="28"/>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39-A1EB-4FB3-A00D-CE23AF356CA1}"/>
              </c:ext>
            </c:extLst>
          </c:dPt>
          <c:dPt>
            <c:idx val="29"/>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3B-A1EB-4FB3-A00D-CE23AF356CA1}"/>
              </c:ext>
            </c:extLst>
          </c:dPt>
          <c:dPt>
            <c:idx val="3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3D-A1EB-4FB3-A00D-CE23AF356CA1}"/>
              </c:ext>
            </c:extLst>
          </c:dPt>
          <c:dPt>
            <c:idx val="31"/>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3F-A1EB-4FB3-A00D-CE23AF356CA1}"/>
              </c:ext>
            </c:extLst>
          </c:dPt>
          <c:dPt>
            <c:idx val="32"/>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41-A1EB-4FB3-A00D-CE23AF356CA1}"/>
              </c:ext>
            </c:extLst>
          </c:dPt>
          <c:dPt>
            <c:idx val="33"/>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43-A1EB-4FB3-A00D-CE23AF356CA1}"/>
              </c:ext>
            </c:extLst>
          </c:dPt>
          <c:dPt>
            <c:idx val="34"/>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45-A1EB-4FB3-A00D-CE23AF356CA1}"/>
              </c:ext>
            </c:extLst>
          </c:dPt>
          <c:dPt>
            <c:idx val="35"/>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47-A1EB-4FB3-A00D-CE23AF356CA1}"/>
              </c:ext>
            </c:extLst>
          </c:dPt>
          <c:dPt>
            <c:idx val="36"/>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49-A1EB-4FB3-A00D-CE23AF356CA1}"/>
              </c:ext>
            </c:extLst>
          </c:dPt>
          <c:dPt>
            <c:idx val="37"/>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4B-A1EB-4FB3-A00D-CE23AF356CA1}"/>
              </c:ext>
            </c:extLst>
          </c:dPt>
          <c:dPt>
            <c:idx val="38"/>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4D-A1EB-4FB3-A00D-CE23AF356CA1}"/>
              </c:ext>
            </c:extLst>
          </c:dPt>
          <c:dPt>
            <c:idx val="39"/>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4F-A1EB-4FB3-A00D-CE23AF356CA1}"/>
              </c:ext>
            </c:extLst>
          </c:dPt>
          <c:dPt>
            <c:idx val="40"/>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51-A1EB-4FB3-A00D-CE23AF356CA1}"/>
              </c:ext>
            </c:extLst>
          </c:dPt>
          <c:dPt>
            <c:idx val="4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53-A1EB-4FB3-A00D-CE23AF356CA1}"/>
              </c:ext>
            </c:extLst>
          </c:dPt>
          <c:dPt>
            <c:idx val="42"/>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55-A1EB-4FB3-A00D-CE23AF356CA1}"/>
              </c:ext>
            </c:extLst>
          </c:dPt>
          <c:dPt>
            <c:idx val="43"/>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57-A1EB-4FB3-A00D-CE23AF356CA1}"/>
              </c:ext>
            </c:extLst>
          </c:dPt>
          <c:dPt>
            <c:idx val="44"/>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59-A1EB-4FB3-A00D-CE23AF356CA1}"/>
              </c:ext>
            </c:extLst>
          </c:dPt>
          <c:dPt>
            <c:idx val="45"/>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5B-A1EB-4FB3-A00D-CE23AF356CA1}"/>
              </c:ext>
            </c:extLst>
          </c:dPt>
          <c:dPt>
            <c:idx val="46"/>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5D-A1EB-4FB3-A00D-CE23AF356CA1}"/>
              </c:ext>
            </c:extLst>
          </c:dPt>
          <c:dPt>
            <c:idx val="47"/>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5F-A1EB-4FB3-A00D-CE23AF356CA1}"/>
              </c:ext>
            </c:extLst>
          </c:dPt>
          <c:dPt>
            <c:idx val="48"/>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61-A1EB-4FB3-A00D-CE23AF356CA1}"/>
              </c:ext>
            </c:extLst>
          </c:dPt>
          <c:dPt>
            <c:idx val="49"/>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63-A1EB-4FB3-A00D-CE23AF356CA1}"/>
              </c:ext>
            </c:extLst>
          </c:dPt>
          <c:dPt>
            <c:idx val="50"/>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65-A1EB-4FB3-A00D-CE23AF356CA1}"/>
              </c:ext>
            </c:extLst>
          </c:dPt>
          <c:dPt>
            <c:idx val="51"/>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67-A1EB-4FB3-A00D-CE23AF356CA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ctAufgabenbericht_B!$P$8:$P$59</c:f>
              <c:strCache>
                <c:ptCount val="46"/>
                <c:pt idx="0">
                  <c:v>Ferienbezug</c:v>
                </c:pt>
                <c:pt idx="1">
                  <c:v>Krankheit</c:v>
                </c:pt>
                <c:pt idx="2">
                  <c:v>Unfall</c:v>
                </c:pt>
                <c:pt idx="3">
                  <c:v>Militär / Zivildienst</c:v>
                </c:pt>
                <c:pt idx="4">
                  <c:v>Weiterbildung</c:v>
                </c:pt>
                <c:pt idx="5">
                  <c:v>Unbezahlter Urlaub</c:v>
                </c:pt>
                <c:pt idx="6">
                  <c:v>Bezahlter Urlaub</c:v>
                </c:pt>
                <c:pt idx="7">
                  <c:v>Kaderarbeitszeit</c:v>
                </c:pt>
                <c:pt idx="44">
                  <c:v>DAG</c:v>
                </c:pt>
                <c:pt idx="45">
                  <c:v>Betriebsausflug</c:v>
                </c:pt>
              </c:strCache>
            </c:strRef>
          </c:cat>
          <c:val>
            <c:numRef>
              <c:f>ctAufgabenbericht_B!$Q$8:$Q$59</c:f>
              <c:numCache>
                <c:formatCode>[h]\:mm;\-\ [h]\:mm;"-     "</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extLst>
            <c:ext xmlns:c16="http://schemas.microsoft.com/office/drawing/2014/chart" uri="{C3380CC4-5D6E-409C-BE32-E72D297353CC}">
              <c16:uniqueId val="{00000068-A1EB-4FB3-A00D-CE23AF356CA1}"/>
            </c:ext>
          </c:extLst>
        </c:ser>
        <c:dLbls>
          <c:showLegendKey val="0"/>
          <c:showVal val="0"/>
          <c:showCatName val="0"/>
          <c:showSerName val="0"/>
          <c:showPercent val="0"/>
          <c:showBubbleSize val="0"/>
        </c:dLbls>
        <c:gapWidth val="150"/>
        <c:axId val="217468288"/>
        <c:axId val="217482368"/>
      </c:barChart>
      <c:catAx>
        <c:axId val="217468288"/>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217482368"/>
        <c:crosses val="autoZero"/>
        <c:auto val="1"/>
        <c:lblAlgn val="ctr"/>
        <c:lblOffset val="100"/>
        <c:tickLblSkip val="1"/>
        <c:tickMarkSkip val="5"/>
        <c:noMultiLvlLbl val="0"/>
      </c:catAx>
      <c:valAx>
        <c:axId val="217482368"/>
        <c:scaling>
          <c:orientation val="minMax"/>
        </c:scaling>
        <c:delete val="0"/>
        <c:axPos val="t"/>
        <c:majorGridlines>
          <c:spPr>
            <a:ln w="3175">
              <a:solidFill>
                <a:srgbClr val="000000"/>
              </a:solidFill>
              <a:prstDash val="solid"/>
            </a:ln>
          </c:spPr>
        </c:majorGridlines>
        <c:numFmt formatCode="[h]\ &quot;Std.&quot;" sourceLinked="0"/>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Arial"/>
                <a:ea typeface="Arial"/>
                <a:cs typeface="Arial"/>
              </a:defRPr>
            </a:pPr>
            <a:endParaRPr lang="en-US"/>
          </a:p>
        </c:txPr>
        <c:crossAx val="21746828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006211180124203E-2"/>
          <c:y val="6.6157925209539004E-2"/>
          <c:w val="0.84937888198757805"/>
          <c:h val="0.82697406511923799"/>
        </c:manualLayout>
      </c:layout>
      <c:lineChart>
        <c:grouping val="stacked"/>
        <c:varyColors val="0"/>
        <c:ser>
          <c:idx val="0"/>
          <c:order val="0"/>
          <c:spPr>
            <a:ln w="38100">
              <a:solidFill>
                <a:srgbClr val="000000"/>
              </a:solidFill>
              <a:prstDash val="solid"/>
            </a:ln>
          </c:spPr>
          <c:marker>
            <c:symbol val="circle"/>
            <c:size val="13"/>
            <c:spPr>
              <a:solidFill>
                <a:srgbClr val="000000"/>
              </a:solidFill>
              <a:ln>
                <a:solidFill>
                  <a:srgbClr val="000000"/>
                </a:solidFill>
                <a:prstDash val="solid"/>
              </a:ln>
            </c:spPr>
          </c:marker>
          <c:cat>
            <c:strRef>
              <c:f>ctUeberzeitbericht_C!$B$6:$B$18</c:f>
              <c:strCache>
                <c:ptCount val="13"/>
                <c:pt idx="0">
                  <c:v>Vorjahr</c:v>
                </c:pt>
                <c:pt idx="1">
                  <c:v>Jan</c:v>
                </c:pt>
                <c:pt idx="2">
                  <c:v>Feb</c:v>
                </c:pt>
                <c:pt idx="3">
                  <c:v>Mrz</c:v>
                </c:pt>
                <c:pt idx="4">
                  <c:v>Apr</c:v>
                </c:pt>
                <c:pt idx="5">
                  <c:v>Mai</c:v>
                </c:pt>
                <c:pt idx="6">
                  <c:v>Jun</c:v>
                </c:pt>
                <c:pt idx="7">
                  <c:v>Jul</c:v>
                </c:pt>
                <c:pt idx="8">
                  <c:v>Aug</c:v>
                </c:pt>
                <c:pt idx="9">
                  <c:v>Sep</c:v>
                </c:pt>
                <c:pt idx="10">
                  <c:v>Okt</c:v>
                </c:pt>
                <c:pt idx="11">
                  <c:v>Nov</c:v>
                </c:pt>
                <c:pt idx="12">
                  <c:v>Dez</c:v>
                </c:pt>
              </c:strCache>
            </c:strRef>
          </c:cat>
          <c:val>
            <c:numRef>
              <c:f>ctUeberzeitbericht_C!$E$6:$E$18</c:f>
              <c:numCache>
                <c:formatCode>[h]\:mm;\-\ [h]\:mm;"-     "</c:formatCode>
                <c:ptCount val="13"/>
                <c:pt idx="0">
                  <c:v>6.9444444444444447E-4</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0C6D-43B5-8C1B-D1D143103B72}"/>
            </c:ext>
          </c:extLst>
        </c:ser>
        <c:dLbls>
          <c:showLegendKey val="0"/>
          <c:showVal val="0"/>
          <c:showCatName val="0"/>
          <c:showSerName val="0"/>
          <c:showPercent val="0"/>
          <c:showBubbleSize val="0"/>
        </c:dLbls>
        <c:marker val="1"/>
        <c:smooth val="0"/>
        <c:axId val="217495424"/>
        <c:axId val="217731072"/>
      </c:lineChart>
      <c:catAx>
        <c:axId val="2174954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25400">
            <a:solidFill>
              <a:srgbClr val="DD0806"/>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217731072"/>
        <c:crosses val="autoZero"/>
        <c:auto val="1"/>
        <c:lblAlgn val="ctr"/>
        <c:lblOffset val="0"/>
        <c:tickLblSkip val="1"/>
        <c:tickMarkSkip val="1"/>
        <c:noMultiLvlLbl val="0"/>
      </c:catAx>
      <c:valAx>
        <c:axId val="217731072"/>
        <c:scaling>
          <c:orientation val="minMax"/>
        </c:scaling>
        <c:delete val="0"/>
        <c:axPos val="r"/>
        <c:majorGridlines>
          <c:spPr>
            <a:ln w="3175">
              <a:solidFill>
                <a:srgbClr val="000000"/>
              </a:solidFill>
              <a:prstDash val="solid"/>
            </a:ln>
          </c:spPr>
        </c:majorGridlines>
        <c:numFmt formatCode="[h]\ &quot;Std.&quot;"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7495424"/>
        <c:crosses val="max"/>
        <c:crossBetween val="midCat"/>
      </c:valAx>
      <c:spPr>
        <a:solidFill>
          <a:srgbClr val="FFFFFF"/>
        </a:solid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6704871060172"/>
          <c:y val="0.12711899474475499"/>
          <c:w val="0.62607449856733499"/>
          <c:h val="0.72034097022027899"/>
        </c:manualLayout>
      </c:layout>
      <c:barChart>
        <c:barDir val="bar"/>
        <c:grouping val="clustered"/>
        <c:varyColors val="0"/>
        <c:ser>
          <c:idx val="0"/>
          <c:order val="0"/>
          <c:spPr>
            <a:solidFill>
              <a:srgbClr val="99CCFF"/>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ctZaehlbericht_F!$B$9:$B$16</c:f>
            </c:multiLvlStrRef>
          </c:cat>
          <c:val>
            <c:numRef>
              <c:f>ctZaehlbericht_F!$Q$7:$Q$14</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4AC7-40F9-9D20-1D963B4CF66B}"/>
            </c:ext>
          </c:extLst>
        </c:ser>
        <c:dLbls>
          <c:showLegendKey val="0"/>
          <c:showVal val="0"/>
          <c:showCatName val="0"/>
          <c:showSerName val="0"/>
          <c:showPercent val="0"/>
          <c:showBubbleSize val="0"/>
        </c:dLbls>
        <c:gapWidth val="150"/>
        <c:axId val="218456064"/>
        <c:axId val="218457600"/>
      </c:barChart>
      <c:catAx>
        <c:axId val="218456064"/>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8457600"/>
        <c:crosses val="autoZero"/>
        <c:auto val="1"/>
        <c:lblAlgn val="ctr"/>
        <c:lblOffset val="100"/>
        <c:tickLblSkip val="1"/>
        <c:tickMarkSkip val="1"/>
        <c:noMultiLvlLbl val="0"/>
      </c:catAx>
      <c:valAx>
        <c:axId val="218457600"/>
        <c:scaling>
          <c:orientation val="minMax"/>
        </c:scaling>
        <c:delete val="0"/>
        <c:axPos val="t"/>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8456064"/>
        <c:crosses val="autoZero"/>
        <c:crossBetween val="between"/>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4921259845" footer="0.492125984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6008871502916"/>
          <c:y val="0.21428671078269501"/>
          <c:w val="0.76681079948307795"/>
          <c:h val="0.61428857091039302"/>
        </c:manualLayout>
      </c:layout>
      <c:barChart>
        <c:barDir val="bar"/>
        <c:grouping val="clustered"/>
        <c:varyColors val="0"/>
        <c:ser>
          <c:idx val="0"/>
          <c:order val="0"/>
          <c:spPr>
            <a:solidFill>
              <a:srgbClr val="3366FF"/>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ctZaehlbericht_F!$B$48:$B$51</c:f>
            </c:multiLvlStrRef>
          </c:cat>
          <c:val>
            <c:numRef>
              <c:f>ctZaehlbericht_F!$Q$16:$Q$19</c:f>
              <c:numCache>
                <c:formatCode>0</c:formatCode>
                <c:ptCount val="4"/>
                <c:pt idx="0">
                  <c:v>0</c:v>
                </c:pt>
                <c:pt idx="1">
                  <c:v>0</c:v>
                </c:pt>
                <c:pt idx="2">
                  <c:v>0</c:v>
                </c:pt>
                <c:pt idx="3">
                  <c:v>0</c:v>
                </c:pt>
              </c:numCache>
            </c:numRef>
          </c:val>
          <c:extLst>
            <c:ext xmlns:c16="http://schemas.microsoft.com/office/drawing/2014/chart" uri="{C3380CC4-5D6E-409C-BE32-E72D297353CC}">
              <c16:uniqueId val="{00000000-8657-43BA-8A20-7EC8979093A8}"/>
            </c:ext>
          </c:extLst>
        </c:ser>
        <c:dLbls>
          <c:showLegendKey val="0"/>
          <c:showVal val="0"/>
          <c:showCatName val="0"/>
          <c:showSerName val="0"/>
          <c:showPercent val="0"/>
          <c:showBubbleSize val="0"/>
        </c:dLbls>
        <c:gapWidth val="150"/>
        <c:axId val="218547328"/>
        <c:axId val="218548864"/>
      </c:barChart>
      <c:catAx>
        <c:axId val="218547328"/>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8548864"/>
        <c:crosses val="autoZero"/>
        <c:auto val="1"/>
        <c:lblAlgn val="ctr"/>
        <c:lblOffset val="100"/>
        <c:tickLblSkip val="1"/>
        <c:tickMarkSkip val="1"/>
        <c:noMultiLvlLbl val="0"/>
      </c:catAx>
      <c:valAx>
        <c:axId val="218548864"/>
        <c:scaling>
          <c:orientation val="minMax"/>
        </c:scaling>
        <c:delete val="0"/>
        <c:axPos val="t"/>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8547328"/>
        <c:crosses val="autoZero"/>
        <c:crossBetween val="between"/>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2" Type="http://schemas.openxmlformats.org/officeDocument/2006/relationships/hyperlink" Target="#ctStartseite!A1"/><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ctStartseite!A1"/><Relationship Id="rId2" Type="http://schemas.openxmlformats.org/officeDocument/2006/relationships/hyperlink" Target="#ctAufgabenbericht_B!A1"/><Relationship Id="rId1" Type="http://schemas.openxmlformats.org/officeDocument/2006/relationships/chart" Target="../charts/chart3.xml"/><Relationship Id="rId4" Type="http://schemas.openxmlformats.org/officeDocument/2006/relationships/hyperlink" Target="#ctPlanungsbericht_D!A1"/></Relationships>
</file>

<file path=xl/drawings/_rels/drawing11.xml.rels><?xml version="1.0" encoding="UTF-8" standalone="yes"?>
<Relationships xmlns="http://schemas.openxmlformats.org/package/2006/relationships"><Relationship Id="rId3" Type="http://schemas.openxmlformats.org/officeDocument/2006/relationships/hyperlink" Target="#ctJahresuebersicht!A1"/><Relationship Id="rId2" Type="http://schemas.openxmlformats.org/officeDocument/2006/relationships/hyperlink" Target="#ctStartseite!A1"/><Relationship Id="rId1" Type="http://schemas.openxmlformats.org/officeDocument/2006/relationships/hyperlink" Target="#ctUeberzeitbericht_C!A1"/></Relationships>
</file>

<file path=xl/drawings/_rels/drawing12.xml.rels><?xml version="1.0" encoding="UTF-8" standalone="yes"?>
<Relationships xmlns="http://schemas.openxmlformats.org/package/2006/relationships"><Relationship Id="rId3" Type="http://schemas.openxmlformats.org/officeDocument/2006/relationships/hyperlink" Target="#ctMonatsbericht_A!A1"/><Relationship Id="rId2" Type="http://schemas.openxmlformats.org/officeDocument/2006/relationships/hyperlink" Target="#ctStartseite!A1"/><Relationship Id="rId1" Type="http://schemas.openxmlformats.org/officeDocument/2006/relationships/hyperlink" Target="#ctJahresuebersicht!A1"/><Relationship Id="rId5" Type="http://schemas.openxmlformats.org/officeDocument/2006/relationships/chart" Target="../charts/chart5.xml"/><Relationship Id="rId4" Type="http://schemas.openxmlformats.org/officeDocument/2006/relationships/chart" Target="../charts/chart4.xml"/></Relationships>
</file>

<file path=xl/drawings/_rels/drawing13.xml.rels><?xml version="1.0" encoding="UTF-8" standalone="yes"?>
<Relationships xmlns="http://schemas.openxmlformats.org/package/2006/relationships"><Relationship Id="rId3" Type="http://schemas.openxmlformats.org/officeDocument/2006/relationships/hyperlink" Target="#Dezember!A1"/><Relationship Id="rId2" Type="http://schemas.openxmlformats.org/officeDocument/2006/relationships/hyperlink" Target="#Februar!A1"/><Relationship Id="rId1" Type="http://schemas.openxmlformats.org/officeDocument/2006/relationships/hyperlink" Target="#ctStartseite!A1"/></Relationships>
</file>

<file path=xl/drawings/_rels/drawing14.xml.rels><?xml version="1.0" encoding="UTF-8" standalone="yes"?>
<Relationships xmlns="http://schemas.openxmlformats.org/package/2006/relationships"><Relationship Id="rId3" Type="http://schemas.openxmlformats.org/officeDocument/2006/relationships/hyperlink" Target="#Januar!A1"/><Relationship Id="rId2" Type="http://schemas.openxmlformats.org/officeDocument/2006/relationships/hyperlink" Target="#Maerz!A1"/><Relationship Id="rId1" Type="http://schemas.openxmlformats.org/officeDocument/2006/relationships/hyperlink" Target="#ctStartseite!A1"/></Relationships>
</file>

<file path=xl/drawings/_rels/drawing15.xml.rels><?xml version="1.0" encoding="UTF-8" standalone="yes"?>
<Relationships xmlns="http://schemas.openxmlformats.org/package/2006/relationships"><Relationship Id="rId3" Type="http://schemas.openxmlformats.org/officeDocument/2006/relationships/hyperlink" Target="#Februar!A1"/><Relationship Id="rId2" Type="http://schemas.openxmlformats.org/officeDocument/2006/relationships/hyperlink" Target="#April!A1"/><Relationship Id="rId1" Type="http://schemas.openxmlformats.org/officeDocument/2006/relationships/hyperlink" Target="#ctStartseite!A1"/></Relationships>
</file>

<file path=xl/drawings/_rels/drawing16.xml.rels><?xml version="1.0" encoding="UTF-8" standalone="yes"?>
<Relationships xmlns="http://schemas.openxmlformats.org/package/2006/relationships"><Relationship Id="rId3" Type="http://schemas.openxmlformats.org/officeDocument/2006/relationships/hyperlink" Target="#Maerz!A1"/><Relationship Id="rId2" Type="http://schemas.openxmlformats.org/officeDocument/2006/relationships/hyperlink" Target="#Mai!A1"/><Relationship Id="rId1" Type="http://schemas.openxmlformats.org/officeDocument/2006/relationships/hyperlink" Target="#ctStartseite!A1"/></Relationships>
</file>

<file path=xl/drawings/_rels/drawing17.xml.rels><?xml version="1.0" encoding="UTF-8" standalone="yes"?>
<Relationships xmlns="http://schemas.openxmlformats.org/package/2006/relationships"><Relationship Id="rId3" Type="http://schemas.openxmlformats.org/officeDocument/2006/relationships/hyperlink" Target="#Juni!A1"/><Relationship Id="rId2" Type="http://schemas.openxmlformats.org/officeDocument/2006/relationships/hyperlink" Target="#ctStartseite!A1"/><Relationship Id="rId1" Type="http://schemas.openxmlformats.org/officeDocument/2006/relationships/hyperlink" Target="#April!A1"/></Relationships>
</file>

<file path=xl/drawings/_rels/drawing18.xml.rels><?xml version="1.0" encoding="UTF-8" standalone="yes"?>
<Relationships xmlns="http://schemas.openxmlformats.org/package/2006/relationships"><Relationship Id="rId3" Type="http://schemas.openxmlformats.org/officeDocument/2006/relationships/hyperlink" Target="#Mai!A1"/><Relationship Id="rId2" Type="http://schemas.openxmlformats.org/officeDocument/2006/relationships/hyperlink" Target="#Juli!A1"/><Relationship Id="rId1" Type="http://schemas.openxmlformats.org/officeDocument/2006/relationships/hyperlink" Target="#ctStartseite!A1"/></Relationships>
</file>

<file path=xl/drawings/_rels/drawing19.xml.rels><?xml version="1.0" encoding="UTF-8" standalone="yes"?>
<Relationships xmlns="http://schemas.openxmlformats.org/package/2006/relationships"><Relationship Id="rId3" Type="http://schemas.openxmlformats.org/officeDocument/2006/relationships/hyperlink" Target="#Juni!A1"/><Relationship Id="rId2" Type="http://schemas.openxmlformats.org/officeDocument/2006/relationships/hyperlink" Target="#August!A1"/><Relationship Id="rId1" Type="http://schemas.openxmlformats.org/officeDocument/2006/relationships/hyperlink" Target="#ctStartseite!A1"/></Relationships>
</file>

<file path=xl/drawings/_rels/drawing2.xml.rels><?xml version="1.0" encoding="UTF-8" standalone="yes"?>
<Relationships xmlns="http://schemas.openxmlformats.org/package/2006/relationships"><Relationship Id="rId8" Type="http://schemas.openxmlformats.org/officeDocument/2006/relationships/hyperlink" Target="#Februar!A1"/><Relationship Id="rId13" Type="http://schemas.openxmlformats.org/officeDocument/2006/relationships/hyperlink" Target="#Juli!A1"/><Relationship Id="rId18" Type="http://schemas.openxmlformats.org/officeDocument/2006/relationships/hyperlink" Target="#Dezember!A1"/><Relationship Id="rId3" Type="http://schemas.openxmlformats.org/officeDocument/2006/relationships/hyperlink" Target="#ctTipps!A1"/><Relationship Id="rId21" Type="http://schemas.openxmlformats.org/officeDocument/2006/relationships/hyperlink" Target="#ctUeberzeitbericht_C!A1"/><Relationship Id="rId7" Type="http://schemas.openxmlformats.org/officeDocument/2006/relationships/hyperlink" Target="#Januar!A1"/><Relationship Id="rId12" Type="http://schemas.openxmlformats.org/officeDocument/2006/relationships/hyperlink" Target="#Juni!A1"/><Relationship Id="rId17" Type="http://schemas.openxmlformats.org/officeDocument/2006/relationships/hyperlink" Target="#November!A1"/><Relationship Id="rId2" Type="http://schemas.openxmlformats.org/officeDocument/2006/relationships/image" Target="../media/image2.jpeg"/><Relationship Id="rId16" Type="http://schemas.openxmlformats.org/officeDocument/2006/relationships/hyperlink" Target="#Oktober!A1"/><Relationship Id="rId20" Type="http://schemas.openxmlformats.org/officeDocument/2006/relationships/hyperlink" Target="#ctAufgabenbericht_B!A1"/><Relationship Id="rId1" Type="http://schemas.openxmlformats.org/officeDocument/2006/relationships/hyperlink" Target="#Entwickler!A1"/><Relationship Id="rId6" Type="http://schemas.openxmlformats.org/officeDocument/2006/relationships/hyperlink" Target="#ctFeierFreitage!A1"/><Relationship Id="rId11" Type="http://schemas.openxmlformats.org/officeDocument/2006/relationships/hyperlink" Target="#Mai!A1"/><Relationship Id="rId24" Type="http://schemas.openxmlformats.org/officeDocument/2006/relationships/hyperlink" Target="#ctZaehlbericht_F!A1"/><Relationship Id="rId5" Type="http://schemas.openxmlformats.org/officeDocument/2006/relationships/hyperlink" Target="#ctArbeitsgebiete!A1"/><Relationship Id="rId15" Type="http://schemas.openxmlformats.org/officeDocument/2006/relationships/hyperlink" Target="#September!A1"/><Relationship Id="rId23" Type="http://schemas.openxmlformats.org/officeDocument/2006/relationships/hyperlink" Target="#ctJahresuebersicht!A1"/><Relationship Id="rId10" Type="http://schemas.openxmlformats.org/officeDocument/2006/relationships/hyperlink" Target="#April!A1"/><Relationship Id="rId19" Type="http://schemas.openxmlformats.org/officeDocument/2006/relationships/hyperlink" Target="#ctMonatsbericht_A!A1"/><Relationship Id="rId4" Type="http://schemas.openxmlformats.org/officeDocument/2006/relationships/hyperlink" Target="#ctPersonalangaben!A1"/><Relationship Id="rId9" Type="http://schemas.openxmlformats.org/officeDocument/2006/relationships/hyperlink" Target="#Maerz!A1"/><Relationship Id="rId14" Type="http://schemas.openxmlformats.org/officeDocument/2006/relationships/hyperlink" Target="#August!A1"/><Relationship Id="rId22" Type="http://schemas.openxmlformats.org/officeDocument/2006/relationships/hyperlink" Target="#ctPlanungsbericht_D!A1"/></Relationships>
</file>

<file path=xl/drawings/_rels/drawing20.xml.rels><?xml version="1.0" encoding="UTF-8" standalone="yes"?>
<Relationships xmlns="http://schemas.openxmlformats.org/package/2006/relationships"><Relationship Id="rId3" Type="http://schemas.openxmlformats.org/officeDocument/2006/relationships/hyperlink" Target="#Juli!A1"/><Relationship Id="rId2" Type="http://schemas.openxmlformats.org/officeDocument/2006/relationships/hyperlink" Target="#September!A1"/><Relationship Id="rId1" Type="http://schemas.openxmlformats.org/officeDocument/2006/relationships/hyperlink" Target="#ctStartseite!A1"/></Relationships>
</file>

<file path=xl/drawings/_rels/drawing21.xml.rels><?xml version="1.0" encoding="UTF-8" standalone="yes"?>
<Relationships xmlns="http://schemas.openxmlformats.org/package/2006/relationships"><Relationship Id="rId3" Type="http://schemas.openxmlformats.org/officeDocument/2006/relationships/hyperlink" Target="#August!A1"/><Relationship Id="rId2" Type="http://schemas.openxmlformats.org/officeDocument/2006/relationships/hyperlink" Target="#Oktober!A1"/><Relationship Id="rId1" Type="http://schemas.openxmlformats.org/officeDocument/2006/relationships/hyperlink" Target="#ctStartseite!A1"/></Relationships>
</file>

<file path=xl/drawings/_rels/drawing22.xml.rels><?xml version="1.0" encoding="UTF-8" standalone="yes"?>
<Relationships xmlns="http://schemas.openxmlformats.org/package/2006/relationships"><Relationship Id="rId3" Type="http://schemas.openxmlformats.org/officeDocument/2006/relationships/hyperlink" Target="#September!A1"/><Relationship Id="rId2" Type="http://schemas.openxmlformats.org/officeDocument/2006/relationships/hyperlink" Target="#November!A1"/><Relationship Id="rId1" Type="http://schemas.openxmlformats.org/officeDocument/2006/relationships/hyperlink" Target="#ctStartseite!A1"/></Relationships>
</file>

<file path=xl/drawings/_rels/drawing23.xml.rels><?xml version="1.0" encoding="UTF-8" standalone="yes"?>
<Relationships xmlns="http://schemas.openxmlformats.org/package/2006/relationships"><Relationship Id="rId3" Type="http://schemas.openxmlformats.org/officeDocument/2006/relationships/hyperlink" Target="#Oktober!A1"/><Relationship Id="rId2" Type="http://schemas.openxmlformats.org/officeDocument/2006/relationships/hyperlink" Target="#Dezember!A1"/><Relationship Id="rId1" Type="http://schemas.openxmlformats.org/officeDocument/2006/relationships/hyperlink" Target="#ctStartseite!A1"/></Relationships>
</file>

<file path=xl/drawings/_rels/drawing24.xml.rels><?xml version="1.0" encoding="UTF-8" standalone="yes"?>
<Relationships xmlns="http://schemas.openxmlformats.org/package/2006/relationships"><Relationship Id="rId3" Type="http://schemas.openxmlformats.org/officeDocument/2006/relationships/hyperlink" Target="#November!A1"/><Relationship Id="rId2" Type="http://schemas.openxmlformats.org/officeDocument/2006/relationships/hyperlink" Target="#Januar!A1"/><Relationship Id="rId1" Type="http://schemas.openxmlformats.org/officeDocument/2006/relationships/hyperlink" Target="#ctStartseite!A1"/></Relationships>
</file>

<file path=xl/drawings/_rels/drawing3.xml.rels><?xml version="1.0" encoding="UTF-8" standalone="yes"?>
<Relationships xmlns="http://schemas.openxmlformats.org/package/2006/relationships"><Relationship Id="rId8" Type="http://schemas.openxmlformats.org/officeDocument/2006/relationships/hyperlink" Target="#ctTipps!A30"/><Relationship Id="rId13" Type="http://schemas.openxmlformats.org/officeDocument/2006/relationships/hyperlink" Target="#ctTipps!A35"/><Relationship Id="rId3" Type="http://schemas.openxmlformats.org/officeDocument/2006/relationships/hyperlink" Target="#ctTipps!A24"/><Relationship Id="rId7" Type="http://schemas.openxmlformats.org/officeDocument/2006/relationships/hyperlink" Target="#ctTipps!A28"/><Relationship Id="rId12" Type="http://schemas.openxmlformats.org/officeDocument/2006/relationships/hyperlink" Target="#ctTipps!A34"/><Relationship Id="rId2" Type="http://schemas.openxmlformats.org/officeDocument/2006/relationships/hyperlink" Target="#ctTipps!A23"/><Relationship Id="rId16" Type="http://schemas.openxmlformats.org/officeDocument/2006/relationships/hyperlink" Target="#ctTipps!A29"/><Relationship Id="rId1" Type="http://schemas.openxmlformats.org/officeDocument/2006/relationships/hyperlink" Target="#ctTipps!A22"/><Relationship Id="rId6" Type="http://schemas.openxmlformats.org/officeDocument/2006/relationships/hyperlink" Target="#ctTipps!A27"/><Relationship Id="rId11" Type="http://schemas.openxmlformats.org/officeDocument/2006/relationships/hyperlink" Target="#ctTipps!A33"/><Relationship Id="rId5" Type="http://schemas.openxmlformats.org/officeDocument/2006/relationships/hyperlink" Target="#ctTipps!A26"/><Relationship Id="rId15" Type="http://schemas.openxmlformats.org/officeDocument/2006/relationships/hyperlink" Target="#ctStartseite!A1"/><Relationship Id="rId10" Type="http://schemas.openxmlformats.org/officeDocument/2006/relationships/hyperlink" Target="#ctTipps!A32"/><Relationship Id="rId4" Type="http://schemas.openxmlformats.org/officeDocument/2006/relationships/hyperlink" Target="#ctTipps!A25"/><Relationship Id="rId9" Type="http://schemas.openxmlformats.org/officeDocument/2006/relationships/hyperlink" Target="#ctTipps!A31"/><Relationship Id="rId14" Type="http://schemas.openxmlformats.org/officeDocument/2006/relationships/hyperlink" Target="#ctTipps!A36"/></Relationships>
</file>

<file path=xl/drawings/_rels/drawing4.xml.rels><?xml version="1.0" encoding="UTF-8" standalone="yes"?>
<Relationships xmlns="http://schemas.openxmlformats.org/package/2006/relationships"><Relationship Id="rId2" Type="http://schemas.openxmlformats.org/officeDocument/2006/relationships/hyperlink" Target="#ctFeierFreitage!A1"/><Relationship Id="rId1" Type="http://schemas.openxmlformats.org/officeDocument/2006/relationships/hyperlink" Target="#ctStartseite!A1"/></Relationships>
</file>

<file path=xl/drawings/_rels/drawing5.xml.rels><?xml version="1.0" encoding="UTF-8" standalone="yes"?>
<Relationships xmlns="http://schemas.openxmlformats.org/package/2006/relationships"><Relationship Id="rId3" Type="http://schemas.openxmlformats.org/officeDocument/2006/relationships/hyperlink" Target="#ctPersonalangaben!A1"/><Relationship Id="rId2" Type="http://schemas.openxmlformats.org/officeDocument/2006/relationships/hyperlink" Target="#ctArbeitsgebiete!A1"/><Relationship Id="rId1" Type="http://schemas.openxmlformats.org/officeDocument/2006/relationships/hyperlink" Target="#ctStartseite!A1"/></Relationships>
</file>

<file path=xl/drawings/_rels/drawing6.xml.rels><?xml version="1.0" encoding="UTF-8" standalone="yes"?>
<Relationships xmlns="http://schemas.openxmlformats.org/package/2006/relationships"><Relationship Id="rId3" Type="http://schemas.openxmlformats.org/officeDocument/2006/relationships/hyperlink" Target="#ctFeierFreitage!A1"/><Relationship Id="rId2" Type="http://schemas.openxmlformats.org/officeDocument/2006/relationships/hyperlink" Target="#ctStartseite!A1"/><Relationship Id="rId1" Type="http://schemas.openxmlformats.org/officeDocument/2006/relationships/hyperlink" Target="#Januar!A1"/></Relationships>
</file>

<file path=xl/drawings/_rels/drawing7.xml.rels><?xml version="1.0" encoding="UTF-8" standalone="yes"?>
<Relationships xmlns="http://schemas.openxmlformats.org/package/2006/relationships"><Relationship Id="rId3" Type="http://schemas.openxmlformats.org/officeDocument/2006/relationships/hyperlink" Target="#ctZaehlbericht_F!A1"/><Relationship Id="rId2" Type="http://schemas.openxmlformats.org/officeDocument/2006/relationships/hyperlink" Target="#ctStartseite!A1"/><Relationship Id="rId1" Type="http://schemas.openxmlformats.org/officeDocument/2006/relationships/hyperlink" Target="#ctPlanungsbericht_D!A1"/></Relationships>
</file>

<file path=xl/drawings/_rels/drawing8.xml.rels><?xml version="1.0" encoding="UTF-8" standalone="yes"?>
<Relationships xmlns="http://schemas.openxmlformats.org/package/2006/relationships"><Relationship Id="rId3" Type="http://schemas.openxmlformats.org/officeDocument/2006/relationships/hyperlink" Target="#ctStartseite!A1"/><Relationship Id="rId2" Type="http://schemas.openxmlformats.org/officeDocument/2006/relationships/hyperlink" Target="#ctZaehlbericht_F!A1"/><Relationship Id="rId1" Type="http://schemas.openxmlformats.org/officeDocument/2006/relationships/chart" Target="../charts/chart1.xml"/><Relationship Id="rId4" Type="http://schemas.openxmlformats.org/officeDocument/2006/relationships/hyperlink" Target="#ctAufgabenbericht_B!A1"/></Relationships>
</file>

<file path=xl/drawings/_rels/drawing9.xml.rels><?xml version="1.0" encoding="UTF-8" standalone="yes"?>
<Relationships xmlns="http://schemas.openxmlformats.org/package/2006/relationships"><Relationship Id="rId3" Type="http://schemas.openxmlformats.org/officeDocument/2006/relationships/hyperlink" Target="#ctStartseite!A1"/><Relationship Id="rId2" Type="http://schemas.openxmlformats.org/officeDocument/2006/relationships/hyperlink" Target="#ctMonatsbericht_A!A1"/><Relationship Id="rId1" Type="http://schemas.openxmlformats.org/officeDocument/2006/relationships/chart" Target="../charts/chart2.xml"/><Relationship Id="rId4" Type="http://schemas.openxmlformats.org/officeDocument/2006/relationships/hyperlink" Target="#ctUeberzeitbericht_C!A1"/></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12700</xdr:rowOff>
    </xdr:from>
    <xdr:to>
      <xdr:col>14</xdr:col>
      <xdr:colOff>711200</xdr:colOff>
      <xdr:row>52</xdr:row>
      <xdr:rowOff>12700</xdr:rowOff>
    </xdr:to>
    <xdr:pic>
      <xdr:nvPicPr>
        <xdr:cNvPr id="1463191" name="Picture 1">
          <a:extLst>
            <a:ext uri="{FF2B5EF4-FFF2-40B4-BE49-F238E27FC236}">
              <a16:creationId xmlns:a16="http://schemas.microsoft.com/office/drawing/2014/main" id="{00000000-0008-0000-0000-0000975316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 y="12700"/>
          <a:ext cx="12966700" cy="802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838200</xdr:colOff>
      <xdr:row>1</xdr:row>
      <xdr:rowOff>0</xdr:rowOff>
    </xdr:from>
    <xdr:to>
      <xdr:col>12</xdr:col>
      <xdr:colOff>825504</xdr:colOff>
      <xdr:row>7</xdr:row>
      <xdr:rowOff>47696</xdr:rowOff>
    </xdr:to>
    <xdr:sp macro="" textlink="">
      <xdr:nvSpPr>
        <xdr:cNvPr id="474116" name="Text Box 4">
          <a:extLst>
            <a:ext uri="{FF2B5EF4-FFF2-40B4-BE49-F238E27FC236}">
              <a16:creationId xmlns:a16="http://schemas.microsoft.com/office/drawing/2014/main" id="{00000000-0008-0000-0000-0000043C0700}"/>
            </a:ext>
          </a:extLst>
        </xdr:cNvPr>
        <xdr:cNvSpPr txBox="1">
          <a:spLocks noChangeArrowheads="1"/>
        </xdr:cNvSpPr>
      </xdr:nvSpPr>
      <xdr:spPr bwMode="auto">
        <a:xfrm>
          <a:off x="3467100" y="254000"/>
          <a:ext cx="7874000" cy="965200"/>
        </a:xfrm>
        <a:prstGeom prst="rect">
          <a:avLst/>
        </a:prstGeom>
        <a:noFill/>
        <a:ln w="9525">
          <a:noFill/>
          <a:miter lim="800000"/>
          <a:headEnd/>
          <a:tailEnd/>
        </a:ln>
      </xdr:spPr>
      <xdr:txBody>
        <a:bodyPr vertOverflow="clip" wrap="square" lIns="27432" tIns="18288" rIns="0" bIns="0" anchor="t" upright="1"/>
        <a:lstStyle/>
        <a:p>
          <a:pPr algn="l" rtl="0">
            <a:defRPr sz="1000"/>
          </a:pPr>
          <a:r>
            <a:rPr lang="de-CH" sz="1000" b="1" i="1" u="none" strike="noStrike" baseline="0">
              <a:solidFill>
                <a:srgbClr val="FFFFFF"/>
              </a:solidFill>
              <a:latin typeface="Arial"/>
              <a:cs typeface="Arial"/>
            </a:rPr>
            <a:t>Liebe Grüsse von den beiden Entwicklern aus der Evangelisch-reformierten Landeskirche des Kantons Zürich!</a:t>
          </a:r>
          <a:endParaRPr lang="de-CH" sz="1000" b="0" i="0" u="none" strike="noStrike" baseline="0">
            <a:solidFill>
              <a:srgbClr val="FFFFFF"/>
            </a:solidFill>
            <a:latin typeface="Arial"/>
            <a:cs typeface="Arial"/>
          </a:endParaRPr>
        </a:p>
        <a:p>
          <a:pPr algn="l" rtl="0">
            <a:defRPr sz="1000"/>
          </a:pPr>
          <a:endParaRPr lang="de-CH" sz="1000" b="0" i="0" u="none" strike="noStrike" baseline="0">
            <a:solidFill>
              <a:srgbClr val="FFFFFF"/>
            </a:solidFill>
            <a:latin typeface="Arial"/>
            <a:cs typeface="Arial"/>
          </a:endParaRPr>
        </a:p>
        <a:p>
          <a:pPr algn="l" rtl="0">
            <a:defRPr sz="1000"/>
          </a:pPr>
          <a:r>
            <a:rPr lang="de-CH" sz="1000" b="0" i="0" u="none" strike="noStrike" baseline="0">
              <a:solidFill>
                <a:srgbClr val="FFFFFF"/>
              </a:solidFill>
              <a:latin typeface="Arial"/>
              <a:cs typeface="Arial"/>
            </a:rPr>
            <a:t>In der Brille von Daniel Schmid (Fachstelle Gottesdienst und Musik) spiegeln sich</a:t>
          </a:r>
        </a:p>
        <a:p>
          <a:pPr algn="l" rtl="0">
            <a:lnSpc>
              <a:spcPts val="1100"/>
            </a:lnSpc>
            <a:defRPr sz="1000"/>
          </a:pPr>
          <a:r>
            <a:rPr lang="de-CH" sz="1000" b="0" i="0" u="none" strike="noStrike" baseline="0">
              <a:solidFill>
                <a:srgbClr val="FFFFFF"/>
              </a:solidFill>
              <a:latin typeface="Arial"/>
              <a:cs typeface="Arial"/>
            </a:rPr>
            <a:t>Peter Wilhelm (Fachstelle Familie ) und Ruth Schuler (Sekretariat).</a:t>
          </a:r>
        </a:p>
      </xdr:txBody>
    </xdr:sp>
    <xdr:clientData/>
  </xdr:twoCellAnchor>
  <xdr:oneCellAnchor>
    <xdr:from>
      <xdr:col>7</xdr:col>
      <xdr:colOff>266700</xdr:colOff>
      <xdr:row>6</xdr:row>
      <xdr:rowOff>0</xdr:rowOff>
    </xdr:from>
    <xdr:ext cx="5046623" cy="1192634"/>
    <xdr:sp macro="" textlink="">
      <xdr:nvSpPr>
        <xdr:cNvPr id="474117" name="Text Box 5">
          <a:extLst>
            <a:ext uri="{FF2B5EF4-FFF2-40B4-BE49-F238E27FC236}">
              <a16:creationId xmlns:a16="http://schemas.microsoft.com/office/drawing/2014/main" id="{00000000-0008-0000-0000-0000053C0700}"/>
            </a:ext>
          </a:extLst>
        </xdr:cNvPr>
        <xdr:cNvSpPr txBox="1">
          <a:spLocks noChangeArrowheads="1"/>
        </xdr:cNvSpPr>
      </xdr:nvSpPr>
      <xdr:spPr bwMode="auto">
        <a:xfrm>
          <a:off x="6400800" y="1016000"/>
          <a:ext cx="5046623" cy="1192634"/>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400" b="1" i="0" u="none" strike="noStrike" baseline="0">
              <a:solidFill>
                <a:srgbClr val="000000"/>
              </a:solidFill>
              <a:latin typeface="Arial"/>
              <a:cs typeface="Arial"/>
            </a:rPr>
            <a:t>Sie litten alle unter der Angst, keine Zeit für alles zu haben,</a:t>
          </a:r>
        </a:p>
        <a:p>
          <a:pPr algn="l" rtl="0">
            <a:defRPr sz="1000"/>
          </a:pPr>
          <a:r>
            <a:rPr lang="de-CH" sz="1400" b="1" i="0" u="none" strike="noStrike" baseline="0">
              <a:solidFill>
                <a:srgbClr val="000000"/>
              </a:solidFill>
              <a:latin typeface="Arial"/>
              <a:cs typeface="Arial"/>
            </a:rPr>
            <a:t>und wussten nicht,</a:t>
          </a:r>
        </a:p>
        <a:p>
          <a:pPr algn="l" rtl="0">
            <a:defRPr sz="1000"/>
          </a:pPr>
          <a:r>
            <a:rPr lang="de-CH" sz="1400" b="1" i="0" u="none" strike="noStrike" baseline="0">
              <a:solidFill>
                <a:srgbClr val="000000"/>
              </a:solidFill>
              <a:latin typeface="Arial"/>
              <a:cs typeface="Arial"/>
            </a:rPr>
            <a:t>dass Zeit haben nichts anderes heisst,</a:t>
          </a:r>
        </a:p>
        <a:p>
          <a:pPr algn="l" rtl="0">
            <a:defRPr sz="1000"/>
          </a:pPr>
          <a:r>
            <a:rPr lang="de-CH" sz="1400" b="1" i="0" u="none" strike="noStrike" baseline="0">
              <a:solidFill>
                <a:srgbClr val="000000"/>
              </a:solidFill>
              <a:latin typeface="Arial"/>
              <a:cs typeface="Arial"/>
            </a:rPr>
            <a:t>als keine Zeit für alles zu haben.</a:t>
          </a: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Robert Musil, Der Mann ohne Eigenschaften, II,40</a:t>
          </a:r>
        </a:p>
      </xdr:txBody>
    </xdr:sp>
    <xdr:clientData/>
  </xdr:oneCellAnchor>
  <xdr:twoCellAnchor>
    <xdr:from>
      <xdr:col>13</xdr:col>
      <xdr:colOff>0</xdr:colOff>
      <xdr:row>0</xdr:row>
      <xdr:rowOff>215900</xdr:rowOff>
    </xdr:from>
    <xdr:to>
      <xdr:col>14</xdr:col>
      <xdr:colOff>0</xdr:colOff>
      <xdr:row>2</xdr:row>
      <xdr:rowOff>48016</xdr:rowOff>
    </xdr:to>
    <xdr:sp macro="" textlink="">
      <xdr:nvSpPr>
        <xdr:cNvPr id="474118" name="Text Box 6">
          <a:hlinkClick xmlns:r="http://schemas.openxmlformats.org/officeDocument/2006/relationships" r:id="rId2"/>
          <a:extLst>
            <a:ext uri="{FF2B5EF4-FFF2-40B4-BE49-F238E27FC236}">
              <a16:creationId xmlns:a16="http://schemas.microsoft.com/office/drawing/2014/main" id="{00000000-0008-0000-0000-0000063C0700}"/>
            </a:ext>
          </a:extLst>
        </xdr:cNvPr>
        <xdr:cNvSpPr txBox="1">
          <a:spLocks noChangeArrowheads="1"/>
        </xdr:cNvSpPr>
      </xdr:nvSpPr>
      <xdr:spPr bwMode="auto">
        <a:xfrm>
          <a:off x="11391900" y="215900"/>
          <a:ext cx="876300" cy="2413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zur Startseite</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22</xdr:row>
      <xdr:rowOff>38100</xdr:rowOff>
    </xdr:from>
    <xdr:to>
      <xdr:col>8</xdr:col>
      <xdr:colOff>990600</xdr:colOff>
      <xdr:row>45</xdr:row>
      <xdr:rowOff>50800</xdr:rowOff>
    </xdr:to>
    <xdr:graphicFrame macro="">
      <xdr:nvGraphicFramePr>
        <xdr:cNvPr id="1375218" name="Chart 26">
          <a:extLst>
            <a:ext uri="{FF2B5EF4-FFF2-40B4-BE49-F238E27FC236}">
              <a16:creationId xmlns:a16="http://schemas.microsoft.com/office/drawing/2014/main" id="{00000000-0008-0000-0900-0000F2FB1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0</xdr:row>
      <xdr:rowOff>0</xdr:rowOff>
    </xdr:from>
    <xdr:to>
      <xdr:col>11</xdr:col>
      <xdr:colOff>0</xdr:colOff>
      <xdr:row>1</xdr:row>
      <xdr:rowOff>0</xdr:rowOff>
    </xdr:to>
    <xdr:sp macro="" textlink="">
      <xdr:nvSpPr>
        <xdr:cNvPr id="49247" name="Text Box 95">
          <a:hlinkClick xmlns:r="http://schemas.openxmlformats.org/officeDocument/2006/relationships" r:id="rId2"/>
          <a:extLst>
            <a:ext uri="{FF2B5EF4-FFF2-40B4-BE49-F238E27FC236}">
              <a16:creationId xmlns:a16="http://schemas.microsoft.com/office/drawing/2014/main" id="{00000000-0008-0000-0900-00005FC00000}"/>
            </a:ext>
          </a:extLst>
        </xdr:cNvPr>
        <xdr:cNvSpPr txBox="1">
          <a:spLocks noChangeArrowheads="1"/>
        </xdr:cNvSpPr>
      </xdr:nvSpPr>
      <xdr:spPr bwMode="auto">
        <a:xfrm>
          <a:off x="8356600" y="0"/>
          <a:ext cx="876300" cy="228600"/>
        </a:xfrm>
        <a:prstGeom prst="rect">
          <a:avLst/>
        </a:prstGeom>
        <a:solidFill>
          <a:srgbClr val="003366"/>
        </a:solidFill>
        <a:ln w="9525">
          <a:solidFill>
            <a:srgbClr val="FFFFFF"/>
          </a:solidFill>
          <a:miter lim="800000"/>
          <a:headEnd/>
          <a:tailEnd/>
        </a:ln>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&lt; zurück</a:t>
          </a:r>
        </a:p>
      </xdr:txBody>
    </xdr:sp>
    <xdr:clientData/>
  </xdr:twoCellAnchor>
  <xdr:twoCellAnchor>
    <xdr:from>
      <xdr:col>11</xdr:col>
      <xdr:colOff>0</xdr:colOff>
      <xdr:row>0</xdr:row>
      <xdr:rowOff>0</xdr:rowOff>
    </xdr:from>
    <xdr:to>
      <xdr:col>12</xdr:col>
      <xdr:colOff>0</xdr:colOff>
      <xdr:row>1</xdr:row>
      <xdr:rowOff>0</xdr:rowOff>
    </xdr:to>
    <xdr:sp macro="" textlink="">
      <xdr:nvSpPr>
        <xdr:cNvPr id="49248" name="Text Box 96">
          <a:hlinkClick xmlns:r="http://schemas.openxmlformats.org/officeDocument/2006/relationships" r:id="rId3"/>
          <a:extLst>
            <a:ext uri="{FF2B5EF4-FFF2-40B4-BE49-F238E27FC236}">
              <a16:creationId xmlns:a16="http://schemas.microsoft.com/office/drawing/2014/main" id="{00000000-0008-0000-0900-000060C00000}"/>
            </a:ext>
          </a:extLst>
        </xdr:cNvPr>
        <xdr:cNvSpPr txBox="1">
          <a:spLocks noChangeArrowheads="1"/>
        </xdr:cNvSpPr>
      </xdr:nvSpPr>
      <xdr:spPr bwMode="auto">
        <a:xfrm>
          <a:off x="92329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zur Startseite</a:t>
          </a:r>
        </a:p>
      </xdr:txBody>
    </xdr:sp>
    <xdr:clientData/>
  </xdr:twoCellAnchor>
  <xdr:twoCellAnchor>
    <xdr:from>
      <xdr:col>12</xdr:col>
      <xdr:colOff>0</xdr:colOff>
      <xdr:row>0</xdr:row>
      <xdr:rowOff>0</xdr:rowOff>
    </xdr:from>
    <xdr:to>
      <xdr:col>13</xdr:col>
      <xdr:colOff>0</xdr:colOff>
      <xdr:row>1</xdr:row>
      <xdr:rowOff>0</xdr:rowOff>
    </xdr:to>
    <xdr:sp macro="" textlink="">
      <xdr:nvSpPr>
        <xdr:cNvPr id="49249" name="Text Box 97">
          <a:hlinkClick xmlns:r="http://schemas.openxmlformats.org/officeDocument/2006/relationships" r:id="rId4"/>
          <a:extLst>
            <a:ext uri="{FF2B5EF4-FFF2-40B4-BE49-F238E27FC236}">
              <a16:creationId xmlns:a16="http://schemas.microsoft.com/office/drawing/2014/main" id="{00000000-0008-0000-0900-000061C00000}"/>
            </a:ext>
          </a:extLst>
        </xdr:cNvPr>
        <xdr:cNvSpPr txBox="1">
          <a:spLocks noChangeArrowheads="1"/>
        </xdr:cNvSpPr>
      </xdr:nvSpPr>
      <xdr:spPr bwMode="auto">
        <a:xfrm>
          <a:off x="101092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weiter &gt;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0</xdr:colOff>
      <xdr:row>0</xdr:row>
      <xdr:rowOff>0</xdr:rowOff>
    </xdr:from>
    <xdr:to>
      <xdr:col>12</xdr:col>
      <xdr:colOff>0</xdr:colOff>
      <xdr:row>1</xdr:row>
      <xdr:rowOff>0</xdr:rowOff>
    </xdr:to>
    <xdr:sp macro="" textlink="">
      <xdr:nvSpPr>
        <xdr:cNvPr id="50189" name="Text Box 13">
          <a:hlinkClick xmlns:r="http://schemas.openxmlformats.org/officeDocument/2006/relationships" r:id="rId1"/>
          <a:extLst>
            <a:ext uri="{FF2B5EF4-FFF2-40B4-BE49-F238E27FC236}">
              <a16:creationId xmlns:a16="http://schemas.microsoft.com/office/drawing/2014/main" id="{00000000-0008-0000-0A00-00000DC40000}"/>
            </a:ext>
          </a:extLst>
        </xdr:cNvPr>
        <xdr:cNvSpPr txBox="1">
          <a:spLocks noChangeArrowheads="1"/>
        </xdr:cNvSpPr>
      </xdr:nvSpPr>
      <xdr:spPr bwMode="auto">
        <a:xfrm>
          <a:off x="8978900" y="0"/>
          <a:ext cx="876300" cy="228600"/>
        </a:xfrm>
        <a:prstGeom prst="rect">
          <a:avLst/>
        </a:prstGeom>
        <a:solidFill>
          <a:srgbClr val="003366"/>
        </a:solidFill>
        <a:ln w="9525">
          <a:solidFill>
            <a:srgbClr val="FFFFFF"/>
          </a:solidFill>
          <a:miter lim="800000"/>
          <a:headEnd/>
          <a:tailEnd/>
        </a:ln>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&lt; zurück</a:t>
          </a:r>
        </a:p>
      </xdr:txBody>
    </xdr:sp>
    <xdr:clientData/>
  </xdr:twoCellAnchor>
  <xdr:twoCellAnchor>
    <xdr:from>
      <xdr:col>12</xdr:col>
      <xdr:colOff>0</xdr:colOff>
      <xdr:row>0</xdr:row>
      <xdr:rowOff>0</xdr:rowOff>
    </xdr:from>
    <xdr:to>
      <xdr:col>13</xdr:col>
      <xdr:colOff>0</xdr:colOff>
      <xdr:row>1</xdr:row>
      <xdr:rowOff>0</xdr:rowOff>
    </xdr:to>
    <xdr:sp macro="" textlink="">
      <xdr:nvSpPr>
        <xdr:cNvPr id="50190" name="Text Box 14">
          <a:hlinkClick xmlns:r="http://schemas.openxmlformats.org/officeDocument/2006/relationships" r:id="rId2"/>
          <a:extLst>
            <a:ext uri="{FF2B5EF4-FFF2-40B4-BE49-F238E27FC236}">
              <a16:creationId xmlns:a16="http://schemas.microsoft.com/office/drawing/2014/main" id="{00000000-0008-0000-0A00-00000EC40000}"/>
            </a:ext>
          </a:extLst>
        </xdr:cNvPr>
        <xdr:cNvSpPr txBox="1">
          <a:spLocks noChangeArrowheads="1"/>
        </xdr:cNvSpPr>
      </xdr:nvSpPr>
      <xdr:spPr bwMode="auto">
        <a:xfrm>
          <a:off x="98552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zur Startseite</a:t>
          </a:r>
        </a:p>
      </xdr:txBody>
    </xdr:sp>
    <xdr:clientData/>
  </xdr:twoCellAnchor>
  <xdr:twoCellAnchor>
    <xdr:from>
      <xdr:col>13</xdr:col>
      <xdr:colOff>0</xdr:colOff>
      <xdr:row>0</xdr:row>
      <xdr:rowOff>0</xdr:rowOff>
    </xdr:from>
    <xdr:to>
      <xdr:col>14</xdr:col>
      <xdr:colOff>0</xdr:colOff>
      <xdr:row>1</xdr:row>
      <xdr:rowOff>0</xdr:rowOff>
    </xdr:to>
    <xdr:sp macro="" textlink="">
      <xdr:nvSpPr>
        <xdr:cNvPr id="50191" name="Text Box 15">
          <a:hlinkClick xmlns:r="http://schemas.openxmlformats.org/officeDocument/2006/relationships" r:id="rId3"/>
          <a:extLst>
            <a:ext uri="{FF2B5EF4-FFF2-40B4-BE49-F238E27FC236}">
              <a16:creationId xmlns:a16="http://schemas.microsoft.com/office/drawing/2014/main" id="{00000000-0008-0000-0A00-00000FC40000}"/>
            </a:ext>
          </a:extLst>
        </xdr:cNvPr>
        <xdr:cNvSpPr txBox="1">
          <a:spLocks noChangeArrowheads="1"/>
        </xdr:cNvSpPr>
      </xdr:nvSpPr>
      <xdr:spPr bwMode="auto">
        <a:xfrm>
          <a:off x="107315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weiter &gt;</a:t>
          </a:r>
        </a:p>
      </xdr:txBody>
    </xdr:sp>
    <xdr:clientData/>
  </xdr:twoCellAnchor>
  <xdr:twoCellAnchor>
    <xdr:from>
      <xdr:col>1</xdr:col>
      <xdr:colOff>0</xdr:colOff>
      <xdr:row>66</xdr:row>
      <xdr:rowOff>0</xdr:rowOff>
    </xdr:from>
    <xdr:to>
      <xdr:col>10</xdr:col>
      <xdr:colOff>0</xdr:colOff>
      <xdr:row>67</xdr:row>
      <xdr:rowOff>25400</xdr:rowOff>
    </xdr:to>
    <xdr:sp macro="" textlink="">
      <xdr:nvSpPr>
        <xdr:cNvPr id="50193" name="Text Box 17">
          <a:extLst>
            <a:ext uri="{FF2B5EF4-FFF2-40B4-BE49-F238E27FC236}">
              <a16:creationId xmlns:a16="http://schemas.microsoft.com/office/drawing/2014/main" id="{00000000-0008-0000-0A00-000011C40000}"/>
            </a:ext>
          </a:extLst>
        </xdr:cNvPr>
        <xdr:cNvSpPr txBox="1">
          <a:spLocks noChangeArrowheads="1"/>
        </xdr:cNvSpPr>
      </xdr:nvSpPr>
      <xdr:spPr bwMode="auto">
        <a:xfrm>
          <a:off x="431800" y="10452100"/>
          <a:ext cx="7721600" cy="1778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de-CH" sz="1000" b="0" i="0" u="none" strike="noStrike" baseline="0">
              <a:solidFill>
                <a:srgbClr val="000000"/>
              </a:solidFill>
              <a:latin typeface="Arial"/>
              <a:cs typeface="Arial"/>
            </a:rPr>
            <a:t>Die Stellen-% sind gerundet. Dadurch kann eine kleine Differenz zum Total entstehen.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0</xdr:colOff>
      <xdr:row>0</xdr:row>
      <xdr:rowOff>0</xdr:rowOff>
    </xdr:from>
    <xdr:to>
      <xdr:col>12</xdr:col>
      <xdr:colOff>0</xdr:colOff>
      <xdr:row>1</xdr:row>
      <xdr:rowOff>0</xdr:rowOff>
    </xdr:to>
    <xdr:sp macro="" textlink="">
      <xdr:nvSpPr>
        <xdr:cNvPr id="48279" name="Text Box 151">
          <a:hlinkClick xmlns:r="http://schemas.openxmlformats.org/officeDocument/2006/relationships" r:id="rId1"/>
          <a:extLst>
            <a:ext uri="{FF2B5EF4-FFF2-40B4-BE49-F238E27FC236}">
              <a16:creationId xmlns:a16="http://schemas.microsoft.com/office/drawing/2014/main" id="{00000000-0008-0000-0B00-000097BC0000}"/>
            </a:ext>
          </a:extLst>
        </xdr:cNvPr>
        <xdr:cNvSpPr txBox="1">
          <a:spLocks noChangeArrowheads="1"/>
        </xdr:cNvSpPr>
      </xdr:nvSpPr>
      <xdr:spPr bwMode="auto">
        <a:xfrm>
          <a:off x="9080500" y="0"/>
          <a:ext cx="876300" cy="228600"/>
        </a:xfrm>
        <a:prstGeom prst="rect">
          <a:avLst/>
        </a:prstGeom>
        <a:solidFill>
          <a:srgbClr val="003366"/>
        </a:solidFill>
        <a:ln w="9525">
          <a:solidFill>
            <a:srgbClr val="FFFFFF"/>
          </a:solidFill>
          <a:miter lim="800000"/>
          <a:headEnd/>
          <a:tailEnd/>
        </a:ln>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&lt; zurück</a:t>
          </a:r>
        </a:p>
      </xdr:txBody>
    </xdr:sp>
    <xdr:clientData/>
  </xdr:twoCellAnchor>
  <xdr:twoCellAnchor>
    <xdr:from>
      <xdr:col>12</xdr:col>
      <xdr:colOff>0</xdr:colOff>
      <xdr:row>0</xdr:row>
      <xdr:rowOff>0</xdr:rowOff>
    </xdr:from>
    <xdr:to>
      <xdr:col>13</xdr:col>
      <xdr:colOff>0</xdr:colOff>
      <xdr:row>1</xdr:row>
      <xdr:rowOff>0</xdr:rowOff>
    </xdr:to>
    <xdr:sp macro="" textlink="">
      <xdr:nvSpPr>
        <xdr:cNvPr id="48280" name="Text Box 152">
          <a:hlinkClick xmlns:r="http://schemas.openxmlformats.org/officeDocument/2006/relationships" r:id="rId2"/>
          <a:extLst>
            <a:ext uri="{FF2B5EF4-FFF2-40B4-BE49-F238E27FC236}">
              <a16:creationId xmlns:a16="http://schemas.microsoft.com/office/drawing/2014/main" id="{00000000-0008-0000-0B00-000098BC0000}"/>
            </a:ext>
          </a:extLst>
        </xdr:cNvPr>
        <xdr:cNvSpPr txBox="1">
          <a:spLocks noChangeArrowheads="1"/>
        </xdr:cNvSpPr>
      </xdr:nvSpPr>
      <xdr:spPr bwMode="auto">
        <a:xfrm>
          <a:off x="99568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zur Startseite</a:t>
          </a:r>
        </a:p>
      </xdr:txBody>
    </xdr:sp>
    <xdr:clientData/>
  </xdr:twoCellAnchor>
  <xdr:twoCellAnchor>
    <xdr:from>
      <xdr:col>13</xdr:col>
      <xdr:colOff>0</xdr:colOff>
      <xdr:row>0</xdr:row>
      <xdr:rowOff>0</xdr:rowOff>
    </xdr:from>
    <xdr:to>
      <xdr:col>14</xdr:col>
      <xdr:colOff>0</xdr:colOff>
      <xdr:row>1</xdr:row>
      <xdr:rowOff>0</xdr:rowOff>
    </xdr:to>
    <xdr:sp macro="" textlink="">
      <xdr:nvSpPr>
        <xdr:cNvPr id="48281" name="Text Box 153">
          <a:hlinkClick xmlns:r="http://schemas.openxmlformats.org/officeDocument/2006/relationships" r:id="rId3"/>
          <a:extLst>
            <a:ext uri="{FF2B5EF4-FFF2-40B4-BE49-F238E27FC236}">
              <a16:creationId xmlns:a16="http://schemas.microsoft.com/office/drawing/2014/main" id="{00000000-0008-0000-0B00-000099BC0000}"/>
            </a:ext>
          </a:extLst>
        </xdr:cNvPr>
        <xdr:cNvSpPr txBox="1">
          <a:spLocks noChangeArrowheads="1"/>
        </xdr:cNvSpPr>
      </xdr:nvSpPr>
      <xdr:spPr bwMode="auto">
        <a:xfrm>
          <a:off x="108331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zu Bericht A</a:t>
          </a:r>
        </a:p>
      </xdr:txBody>
    </xdr:sp>
    <xdr:clientData/>
  </xdr:twoCellAnchor>
  <xdr:twoCellAnchor>
    <xdr:from>
      <xdr:col>1</xdr:col>
      <xdr:colOff>50800</xdr:colOff>
      <xdr:row>18</xdr:row>
      <xdr:rowOff>139700</xdr:rowOff>
    </xdr:from>
    <xdr:to>
      <xdr:col>9</xdr:col>
      <xdr:colOff>1409700</xdr:colOff>
      <xdr:row>39</xdr:row>
      <xdr:rowOff>114300</xdr:rowOff>
    </xdr:to>
    <xdr:graphicFrame macro="">
      <xdr:nvGraphicFramePr>
        <xdr:cNvPr id="1926694" name="Chart 46">
          <a:extLst>
            <a:ext uri="{FF2B5EF4-FFF2-40B4-BE49-F238E27FC236}">
              <a16:creationId xmlns:a16="http://schemas.microsoft.com/office/drawing/2014/main" id="{00000000-0008-0000-0B00-000026661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50800</xdr:colOff>
      <xdr:row>53</xdr:row>
      <xdr:rowOff>12700</xdr:rowOff>
    </xdr:from>
    <xdr:to>
      <xdr:col>9</xdr:col>
      <xdr:colOff>1422400</xdr:colOff>
      <xdr:row>65</xdr:row>
      <xdr:rowOff>63500</xdr:rowOff>
    </xdr:to>
    <xdr:graphicFrame macro="">
      <xdr:nvGraphicFramePr>
        <xdr:cNvPr id="1926695" name="Chart 47">
          <a:extLst>
            <a:ext uri="{FF2B5EF4-FFF2-40B4-BE49-F238E27FC236}">
              <a16:creationId xmlns:a16="http://schemas.microsoft.com/office/drawing/2014/main" id="{00000000-0008-0000-0B00-000027661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0</xdr:colOff>
      <xdr:row>84</xdr:row>
      <xdr:rowOff>0</xdr:rowOff>
    </xdr:from>
    <xdr:to>
      <xdr:col>4</xdr:col>
      <xdr:colOff>0</xdr:colOff>
      <xdr:row>85</xdr:row>
      <xdr:rowOff>0</xdr:rowOff>
    </xdr:to>
    <xdr:sp macro="" textlink="">
      <xdr:nvSpPr>
        <xdr:cNvPr id="2574515" name="Line 4">
          <a:extLst>
            <a:ext uri="{FF2B5EF4-FFF2-40B4-BE49-F238E27FC236}">
              <a16:creationId xmlns:a16="http://schemas.microsoft.com/office/drawing/2014/main" id="{00000000-0008-0000-0C00-0000B3482700}"/>
            </a:ext>
          </a:extLst>
        </xdr:cNvPr>
        <xdr:cNvSpPr>
          <a:spLocks noChangeShapeType="1"/>
        </xdr:cNvSpPr>
      </xdr:nvSpPr>
      <xdr:spPr bwMode="auto">
        <a:xfrm>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74516" name="Line 5">
          <a:extLst>
            <a:ext uri="{FF2B5EF4-FFF2-40B4-BE49-F238E27FC236}">
              <a16:creationId xmlns:a16="http://schemas.microsoft.com/office/drawing/2014/main" id="{00000000-0008-0000-0C00-0000B4482700}"/>
            </a:ext>
          </a:extLst>
        </xdr:cNvPr>
        <xdr:cNvSpPr>
          <a:spLocks noChangeShapeType="1"/>
        </xdr:cNvSpPr>
      </xdr:nvSpPr>
      <xdr:spPr bwMode="auto">
        <a:xfrm flipV="1">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74517" name="Line 8">
          <a:extLst>
            <a:ext uri="{FF2B5EF4-FFF2-40B4-BE49-F238E27FC236}">
              <a16:creationId xmlns:a16="http://schemas.microsoft.com/office/drawing/2014/main" id="{00000000-0008-0000-0C00-0000B548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74518" name="Line 9">
          <a:extLst>
            <a:ext uri="{FF2B5EF4-FFF2-40B4-BE49-F238E27FC236}">
              <a16:creationId xmlns:a16="http://schemas.microsoft.com/office/drawing/2014/main" id="{00000000-0008-0000-0C00-0000B648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74519" name="Line 10">
          <a:extLst>
            <a:ext uri="{FF2B5EF4-FFF2-40B4-BE49-F238E27FC236}">
              <a16:creationId xmlns:a16="http://schemas.microsoft.com/office/drawing/2014/main" id="{00000000-0008-0000-0C00-0000B748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74520" name="Line 11">
          <a:extLst>
            <a:ext uri="{FF2B5EF4-FFF2-40B4-BE49-F238E27FC236}">
              <a16:creationId xmlns:a16="http://schemas.microsoft.com/office/drawing/2014/main" id="{00000000-0008-0000-0C00-0000B848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74521" name="Line 20">
          <a:extLst>
            <a:ext uri="{FF2B5EF4-FFF2-40B4-BE49-F238E27FC236}">
              <a16:creationId xmlns:a16="http://schemas.microsoft.com/office/drawing/2014/main" id="{00000000-0008-0000-0C00-0000B948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74522" name="Line 21">
          <a:extLst>
            <a:ext uri="{FF2B5EF4-FFF2-40B4-BE49-F238E27FC236}">
              <a16:creationId xmlns:a16="http://schemas.microsoft.com/office/drawing/2014/main" id="{00000000-0008-0000-0C00-0000BA48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74523" name="Line 22">
          <a:extLst>
            <a:ext uri="{FF2B5EF4-FFF2-40B4-BE49-F238E27FC236}">
              <a16:creationId xmlns:a16="http://schemas.microsoft.com/office/drawing/2014/main" id="{00000000-0008-0000-0C00-0000BB48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74524" name="Line 23">
          <a:extLst>
            <a:ext uri="{FF2B5EF4-FFF2-40B4-BE49-F238E27FC236}">
              <a16:creationId xmlns:a16="http://schemas.microsoft.com/office/drawing/2014/main" id="{00000000-0008-0000-0C00-0000BC48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74525" name="Line 26">
          <a:extLst>
            <a:ext uri="{FF2B5EF4-FFF2-40B4-BE49-F238E27FC236}">
              <a16:creationId xmlns:a16="http://schemas.microsoft.com/office/drawing/2014/main" id="{00000000-0008-0000-0C00-0000BD48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74526" name="Line 27">
          <a:extLst>
            <a:ext uri="{FF2B5EF4-FFF2-40B4-BE49-F238E27FC236}">
              <a16:creationId xmlns:a16="http://schemas.microsoft.com/office/drawing/2014/main" id="{00000000-0008-0000-0C00-0000BE48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74527" name="Line 28">
          <a:extLst>
            <a:ext uri="{FF2B5EF4-FFF2-40B4-BE49-F238E27FC236}">
              <a16:creationId xmlns:a16="http://schemas.microsoft.com/office/drawing/2014/main" id="{00000000-0008-0000-0C00-0000BF48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74528" name="Line 29">
          <a:extLst>
            <a:ext uri="{FF2B5EF4-FFF2-40B4-BE49-F238E27FC236}">
              <a16:creationId xmlns:a16="http://schemas.microsoft.com/office/drawing/2014/main" id="{00000000-0008-0000-0C00-0000C0482700}"/>
            </a:ext>
          </a:extLst>
        </xdr:cNvPr>
        <xdr:cNvSpPr>
          <a:spLocks noChangeShapeType="1"/>
        </xdr:cNvSpPr>
      </xdr:nvSpPr>
      <xdr:spPr bwMode="auto">
        <a:xfrm>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74529" name="Line 30">
          <a:extLst>
            <a:ext uri="{FF2B5EF4-FFF2-40B4-BE49-F238E27FC236}">
              <a16:creationId xmlns:a16="http://schemas.microsoft.com/office/drawing/2014/main" id="{00000000-0008-0000-0C00-0000C1482700}"/>
            </a:ext>
          </a:extLst>
        </xdr:cNvPr>
        <xdr:cNvSpPr>
          <a:spLocks noChangeShapeType="1"/>
        </xdr:cNvSpPr>
      </xdr:nvSpPr>
      <xdr:spPr bwMode="auto">
        <a:xfrm flipV="1">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74530" name="Line 31">
          <a:extLst>
            <a:ext uri="{FF2B5EF4-FFF2-40B4-BE49-F238E27FC236}">
              <a16:creationId xmlns:a16="http://schemas.microsoft.com/office/drawing/2014/main" id="{00000000-0008-0000-0C00-0000C2482700}"/>
            </a:ext>
          </a:extLst>
        </xdr:cNvPr>
        <xdr:cNvSpPr>
          <a:spLocks noChangeShapeType="1"/>
        </xdr:cNvSpPr>
      </xdr:nvSpPr>
      <xdr:spPr bwMode="auto">
        <a:xfrm>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74531" name="Line 32">
          <a:extLst>
            <a:ext uri="{FF2B5EF4-FFF2-40B4-BE49-F238E27FC236}">
              <a16:creationId xmlns:a16="http://schemas.microsoft.com/office/drawing/2014/main" id="{00000000-0008-0000-0C00-0000C348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74532" name="Line 33">
          <a:extLst>
            <a:ext uri="{FF2B5EF4-FFF2-40B4-BE49-F238E27FC236}">
              <a16:creationId xmlns:a16="http://schemas.microsoft.com/office/drawing/2014/main" id="{00000000-0008-0000-0C00-0000C448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74533" name="Line 34">
          <a:extLst>
            <a:ext uri="{FF2B5EF4-FFF2-40B4-BE49-F238E27FC236}">
              <a16:creationId xmlns:a16="http://schemas.microsoft.com/office/drawing/2014/main" id="{00000000-0008-0000-0C00-0000C548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74534" name="Line 35">
          <a:extLst>
            <a:ext uri="{FF2B5EF4-FFF2-40B4-BE49-F238E27FC236}">
              <a16:creationId xmlns:a16="http://schemas.microsoft.com/office/drawing/2014/main" id="{00000000-0008-0000-0C00-0000C648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27</xdr:row>
      <xdr:rowOff>0</xdr:rowOff>
    </xdr:to>
    <xdr:sp macro="" textlink="">
      <xdr:nvSpPr>
        <xdr:cNvPr id="2574535" name="Line 36">
          <a:extLst>
            <a:ext uri="{FF2B5EF4-FFF2-40B4-BE49-F238E27FC236}">
              <a16:creationId xmlns:a16="http://schemas.microsoft.com/office/drawing/2014/main" id="{00000000-0008-0000-0C00-0000C748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74536" name="Line 38">
          <a:extLst>
            <a:ext uri="{FF2B5EF4-FFF2-40B4-BE49-F238E27FC236}">
              <a16:creationId xmlns:a16="http://schemas.microsoft.com/office/drawing/2014/main" id="{00000000-0008-0000-0C00-0000C8482700}"/>
            </a:ext>
          </a:extLst>
        </xdr:cNvPr>
        <xdr:cNvSpPr>
          <a:spLocks noChangeShapeType="1"/>
        </xdr:cNvSpPr>
      </xdr:nvSpPr>
      <xdr:spPr bwMode="auto">
        <a:xfrm flipV="1">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74537" name="Line 39">
          <a:extLst>
            <a:ext uri="{FF2B5EF4-FFF2-40B4-BE49-F238E27FC236}">
              <a16:creationId xmlns:a16="http://schemas.microsoft.com/office/drawing/2014/main" id="{00000000-0008-0000-0C00-0000C9482700}"/>
            </a:ext>
          </a:extLst>
        </xdr:cNvPr>
        <xdr:cNvSpPr>
          <a:spLocks noChangeShapeType="1"/>
        </xdr:cNvSpPr>
      </xdr:nvSpPr>
      <xdr:spPr bwMode="auto">
        <a:xfrm>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74538" name="Line 40">
          <a:extLst>
            <a:ext uri="{FF2B5EF4-FFF2-40B4-BE49-F238E27FC236}">
              <a16:creationId xmlns:a16="http://schemas.microsoft.com/office/drawing/2014/main" id="{00000000-0008-0000-0C00-0000CA482700}"/>
            </a:ext>
          </a:extLst>
        </xdr:cNvPr>
        <xdr:cNvSpPr>
          <a:spLocks noChangeShapeType="1"/>
        </xdr:cNvSpPr>
      </xdr:nvSpPr>
      <xdr:spPr bwMode="auto">
        <a:xfrm flipV="1">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74539" name="Line 41">
          <a:extLst>
            <a:ext uri="{FF2B5EF4-FFF2-40B4-BE49-F238E27FC236}">
              <a16:creationId xmlns:a16="http://schemas.microsoft.com/office/drawing/2014/main" id="{00000000-0008-0000-0C00-0000CB48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74540" name="Line 42">
          <a:extLst>
            <a:ext uri="{FF2B5EF4-FFF2-40B4-BE49-F238E27FC236}">
              <a16:creationId xmlns:a16="http://schemas.microsoft.com/office/drawing/2014/main" id="{00000000-0008-0000-0C00-0000CC482700}"/>
            </a:ext>
          </a:extLst>
        </xdr:cNvPr>
        <xdr:cNvSpPr>
          <a:spLocks noChangeShapeType="1"/>
        </xdr:cNvSpPr>
      </xdr:nvSpPr>
      <xdr:spPr bwMode="auto">
        <a:xfrm flipV="1">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74541" name="Line 43">
          <a:extLst>
            <a:ext uri="{FF2B5EF4-FFF2-40B4-BE49-F238E27FC236}">
              <a16:creationId xmlns:a16="http://schemas.microsoft.com/office/drawing/2014/main" id="{00000000-0008-0000-0C00-0000CD482700}"/>
            </a:ext>
          </a:extLst>
        </xdr:cNvPr>
        <xdr:cNvSpPr>
          <a:spLocks noChangeShapeType="1"/>
        </xdr:cNvSpPr>
      </xdr:nvSpPr>
      <xdr:spPr bwMode="auto">
        <a:xfrm>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74542" name="Line 44">
          <a:extLst>
            <a:ext uri="{FF2B5EF4-FFF2-40B4-BE49-F238E27FC236}">
              <a16:creationId xmlns:a16="http://schemas.microsoft.com/office/drawing/2014/main" id="{00000000-0008-0000-0C00-0000CE482700}"/>
            </a:ext>
          </a:extLst>
        </xdr:cNvPr>
        <xdr:cNvSpPr>
          <a:spLocks noChangeShapeType="1"/>
        </xdr:cNvSpPr>
      </xdr:nvSpPr>
      <xdr:spPr bwMode="auto">
        <a:xfrm flipV="1">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74543" name="Line 45">
          <a:extLst>
            <a:ext uri="{FF2B5EF4-FFF2-40B4-BE49-F238E27FC236}">
              <a16:creationId xmlns:a16="http://schemas.microsoft.com/office/drawing/2014/main" id="{00000000-0008-0000-0C00-0000CF482700}"/>
            </a:ext>
          </a:extLst>
        </xdr:cNvPr>
        <xdr:cNvSpPr>
          <a:spLocks noChangeShapeType="1"/>
        </xdr:cNvSpPr>
      </xdr:nvSpPr>
      <xdr:spPr bwMode="auto">
        <a:xfrm>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74544" name="Line 46">
          <a:extLst>
            <a:ext uri="{FF2B5EF4-FFF2-40B4-BE49-F238E27FC236}">
              <a16:creationId xmlns:a16="http://schemas.microsoft.com/office/drawing/2014/main" id="{00000000-0008-0000-0C00-0000D048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74545" name="Line 47">
          <a:extLst>
            <a:ext uri="{FF2B5EF4-FFF2-40B4-BE49-F238E27FC236}">
              <a16:creationId xmlns:a16="http://schemas.microsoft.com/office/drawing/2014/main" id="{00000000-0008-0000-0C00-0000D148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74546" name="Line 49">
          <a:extLst>
            <a:ext uri="{FF2B5EF4-FFF2-40B4-BE49-F238E27FC236}">
              <a16:creationId xmlns:a16="http://schemas.microsoft.com/office/drawing/2014/main" id="{00000000-0008-0000-0C00-0000D248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74547" name="Line 50">
          <a:extLst>
            <a:ext uri="{FF2B5EF4-FFF2-40B4-BE49-F238E27FC236}">
              <a16:creationId xmlns:a16="http://schemas.microsoft.com/office/drawing/2014/main" id="{00000000-0008-0000-0C00-0000D348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74548" name="Line 51">
          <a:extLst>
            <a:ext uri="{FF2B5EF4-FFF2-40B4-BE49-F238E27FC236}">
              <a16:creationId xmlns:a16="http://schemas.microsoft.com/office/drawing/2014/main" id="{00000000-0008-0000-0C00-0000D448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74549" name="Line 52">
          <a:extLst>
            <a:ext uri="{FF2B5EF4-FFF2-40B4-BE49-F238E27FC236}">
              <a16:creationId xmlns:a16="http://schemas.microsoft.com/office/drawing/2014/main" id="{00000000-0008-0000-0C00-0000D548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74550" name="Line 53">
          <a:extLst>
            <a:ext uri="{FF2B5EF4-FFF2-40B4-BE49-F238E27FC236}">
              <a16:creationId xmlns:a16="http://schemas.microsoft.com/office/drawing/2014/main" id="{00000000-0008-0000-0C00-0000D6482700}"/>
            </a:ext>
          </a:extLst>
        </xdr:cNvPr>
        <xdr:cNvSpPr>
          <a:spLocks noChangeShapeType="1"/>
        </xdr:cNvSpPr>
      </xdr:nvSpPr>
      <xdr:spPr bwMode="auto">
        <a:xfrm flipV="1">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74551" name="Line 54">
          <a:extLst>
            <a:ext uri="{FF2B5EF4-FFF2-40B4-BE49-F238E27FC236}">
              <a16:creationId xmlns:a16="http://schemas.microsoft.com/office/drawing/2014/main" id="{00000000-0008-0000-0C00-0000D7482700}"/>
            </a:ext>
          </a:extLst>
        </xdr:cNvPr>
        <xdr:cNvSpPr>
          <a:spLocks noChangeShapeType="1"/>
        </xdr:cNvSpPr>
      </xdr:nvSpPr>
      <xdr:spPr bwMode="auto">
        <a:xfrm>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74552" name="Line 58">
          <a:extLst>
            <a:ext uri="{FF2B5EF4-FFF2-40B4-BE49-F238E27FC236}">
              <a16:creationId xmlns:a16="http://schemas.microsoft.com/office/drawing/2014/main" id="{00000000-0008-0000-0C00-0000D848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74553" name="Line 59">
          <a:extLst>
            <a:ext uri="{FF2B5EF4-FFF2-40B4-BE49-F238E27FC236}">
              <a16:creationId xmlns:a16="http://schemas.microsoft.com/office/drawing/2014/main" id="{00000000-0008-0000-0C00-0000D948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74554" name="Line 129">
          <a:extLst>
            <a:ext uri="{FF2B5EF4-FFF2-40B4-BE49-F238E27FC236}">
              <a16:creationId xmlns:a16="http://schemas.microsoft.com/office/drawing/2014/main" id="{00000000-0008-0000-0C00-0000DA482700}"/>
            </a:ext>
          </a:extLst>
        </xdr:cNvPr>
        <xdr:cNvSpPr>
          <a:spLocks noChangeShapeType="1"/>
        </xdr:cNvSpPr>
      </xdr:nvSpPr>
      <xdr:spPr bwMode="auto">
        <a:xfrm flipV="1">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74555" name="Line 130">
          <a:extLst>
            <a:ext uri="{FF2B5EF4-FFF2-40B4-BE49-F238E27FC236}">
              <a16:creationId xmlns:a16="http://schemas.microsoft.com/office/drawing/2014/main" id="{00000000-0008-0000-0C00-0000DB482700}"/>
            </a:ext>
          </a:extLst>
        </xdr:cNvPr>
        <xdr:cNvSpPr>
          <a:spLocks noChangeShapeType="1"/>
        </xdr:cNvSpPr>
      </xdr:nvSpPr>
      <xdr:spPr bwMode="auto">
        <a:xfrm>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74556" name="Line 131">
          <a:extLst>
            <a:ext uri="{FF2B5EF4-FFF2-40B4-BE49-F238E27FC236}">
              <a16:creationId xmlns:a16="http://schemas.microsoft.com/office/drawing/2014/main" id="{00000000-0008-0000-0C00-0000DC48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74557" name="Line 132">
          <a:extLst>
            <a:ext uri="{FF2B5EF4-FFF2-40B4-BE49-F238E27FC236}">
              <a16:creationId xmlns:a16="http://schemas.microsoft.com/office/drawing/2014/main" id="{00000000-0008-0000-0C00-0000DD48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74558" name="Line 133">
          <a:extLst>
            <a:ext uri="{FF2B5EF4-FFF2-40B4-BE49-F238E27FC236}">
              <a16:creationId xmlns:a16="http://schemas.microsoft.com/office/drawing/2014/main" id="{00000000-0008-0000-0C00-0000DE48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74559" name="Line 134">
          <a:extLst>
            <a:ext uri="{FF2B5EF4-FFF2-40B4-BE49-F238E27FC236}">
              <a16:creationId xmlns:a16="http://schemas.microsoft.com/office/drawing/2014/main" id="{00000000-0008-0000-0C00-0000DF48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74560" name="Line 135">
          <a:extLst>
            <a:ext uri="{FF2B5EF4-FFF2-40B4-BE49-F238E27FC236}">
              <a16:creationId xmlns:a16="http://schemas.microsoft.com/office/drawing/2014/main" id="{00000000-0008-0000-0C00-0000E04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24</xdr:row>
      <xdr:rowOff>0</xdr:rowOff>
    </xdr:to>
    <xdr:sp macro="" textlink="">
      <xdr:nvSpPr>
        <xdr:cNvPr id="2574561" name="Line 136">
          <a:extLst>
            <a:ext uri="{FF2B5EF4-FFF2-40B4-BE49-F238E27FC236}">
              <a16:creationId xmlns:a16="http://schemas.microsoft.com/office/drawing/2014/main" id="{00000000-0008-0000-0C00-0000E148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74562" name="Line 141">
          <a:extLst>
            <a:ext uri="{FF2B5EF4-FFF2-40B4-BE49-F238E27FC236}">
              <a16:creationId xmlns:a16="http://schemas.microsoft.com/office/drawing/2014/main" id="{00000000-0008-0000-0C00-0000E2482700}"/>
            </a:ext>
          </a:extLst>
        </xdr:cNvPr>
        <xdr:cNvSpPr>
          <a:spLocks noChangeShapeType="1"/>
        </xdr:cNvSpPr>
      </xdr:nvSpPr>
      <xdr:spPr bwMode="auto">
        <a:xfrm flipV="1">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74563" name="Line 142">
          <a:extLst>
            <a:ext uri="{FF2B5EF4-FFF2-40B4-BE49-F238E27FC236}">
              <a16:creationId xmlns:a16="http://schemas.microsoft.com/office/drawing/2014/main" id="{00000000-0008-0000-0C00-0000E3482700}"/>
            </a:ext>
          </a:extLst>
        </xdr:cNvPr>
        <xdr:cNvSpPr>
          <a:spLocks noChangeShapeType="1"/>
        </xdr:cNvSpPr>
      </xdr:nvSpPr>
      <xdr:spPr bwMode="auto">
        <a:xfrm>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74564" name="Line 612">
          <a:extLst>
            <a:ext uri="{FF2B5EF4-FFF2-40B4-BE49-F238E27FC236}">
              <a16:creationId xmlns:a16="http://schemas.microsoft.com/office/drawing/2014/main" id="{00000000-0008-0000-0C00-0000E44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0</xdr:col>
      <xdr:colOff>0</xdr:colOff>
      <xdr:row>6</xdr:row>
      <xdr:rowOff>0</xdr:rowOff>
    </xdr:from>
    <xdr:to>
      <xdr:col>3</xdr:col>
      <xdr:colOff>0</xdr:colOff>
      <xdr:row>7</xdr:row>
      <xdr:rowOff>0</xdr:rowOff>
    </xdr:to>
    <xdr:sp macro="" textlink="">
      <xdr:nvSpPr>
        <xdr:cNvPr id="466043" name="Text Box 9339">
          <a:hlinkClick xmlns:r="http://schemas.openxmlformats.org/officeDocument/2006/relationships" r:id="rId1"/>
          <a:extLst>
            <a:ext uri="{FF2B5EF4-FFF2-40B4-BE49-F238E27FC236}">
              <a16:creationId xmlns:a16="http://schemas.microsoft.com/office/drawing/2014/main" id="{00000000-0008-0000-0C00-00007B1C0700}"/>
            </a:ext>
          </a:extLst>
        </xdr:cNvPr>
        <xdr:cNvSpPr txBox="1">
          <a:spLocks noChangeArrowheads="1"/>
        </xdr:cNvSpPr>
      </xdr:nvSpPr>
      <xdr:spPr bwMode="auto">
        <a:xfrm>
          <a:off x="0" y="774700"/>
          <a:ext cx="1714500" cy="2794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zur Startseite</a:t>
          </a:r>
        </a:p>
      </xdr:txBody>
    </xdr:sp>
    <xdr:clientData fPrintsWithSheet="0"/>
  </xdr:twoCellAnchor>
  <xdr:twoCellAnchor>
    <xdr:from>
      <xdr:col>0</xdr:col>
      <xdr:colOff>0</xdr:colOff>
      <xdr:row>8</xdr:row>
      <xdr:rowOff>0</xdr:rowOff>
    </xdr:from>
    <xdr:to>
      <xdr:col>3</xdr:col>
      <xdr:colOff>0</xdr:colOff>
      <xdr:row>9</xdr:row>
      <xdr:rowOff>0</xdr:rowOff>
    </xdr:to>
    <xdr:sp macro="" textlink="">
      <xdr:nvSpPr>
        <xdr:cNvPr id="466044" name="Text Box 9340">
          <a:hlinkClick xmlns:r="http://schemas.openxmlformats.org/officeDocument/2006/relationships" r:id="rId2"/>
          <a:extLst>
            <a:ext uri="{FF2B5EF4-FFF2-40B4-BE49-F238E27FC236}">
              <a16:creationId xmlns:a16="http://schemas.microsoft.com/office/drawing/2014/main" id="{00000000-0008-0000-0C00-00007C1C0700}"/>
            </a:ext>
          </a:extLst>
        </xdr:cNvPr>
        <xdr:cNvSpPr txBox="1">
          <a:spLocks noChangeArrowheads="1"/>
        </xdr:cNvSpPr>
      </xdr:nvSpPr>
      <xdr:spPr bwMode="auto">
        <a:xfrm>
          <a:off x="0" y="13335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 weiter &gt;</a:t>
          </a:r>
        </a:p>
      </xdr:txBody>
    </xdr:sp>
    <xdr:clientData fPrintsWithSheet="0"/>
  </xdr:twoCellAnchor>
  <xdr:twoCellAnchor>
    <xdr:from>
      <xdr:col>0</xdr:col>
      <xdr:colOff>0</xdr:colOff>
      <xdr:row>10</xdr:row>
      <xdr:rowOff>0</xdr:rowOff>
    </xdr:from>
    <xdr:to>
      <xdr:col>3</xdr:col>
      <xdr:colOff>0</xdr:colOff>
      <xdr:row>11</xdr:row>
      <xdr:rowOff>0</xdr:rowOff>
    </xdr:to>
    <xdr:sp macro="" textlink="">
      <xdr:nvSpPr>
        <xdr:cNvPr id="466045" name="Text Box 9341">
          <a:hlinkClick xmlns:r="http://schemas.openxmlformats.org/officeDocument/2006/relationships" r:id="rId3"/>
          <a:extLst>
            <a:ext uri="{FF2B5EF4-FFF2-40B4-BE49-F238E27FC236}">
              <a16:creationId xmlns:a16="http://schemas.microsoft.com/office/drawing/2014/main" id="{00000000-0008-0000-0C00-00007D1C0700}"/>
            </a:ext>
          </a:extLst>
        </xdr:cNvPr>
        <xdr:cNvSpPr txBox="1">
          <a:spLocks noChangeArrowheads="1"/>
        </xdr:cNvSpPr>
      </xdr:nvSpPr>
      <xdr:spPr bwMode="auto">
        <a:xfrm>
          <a:off x="0" y="18923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&lt; zum Dezember</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1</xdr:col>
      <xdr:colOff>12700</xdr:colOff>
      <xdr:row>24</xdr:row>
      <xdr:rowOff>0</xdr:rowOff>
    </xdr:from>
    <xdr:to>
      <xdr:col>2</xdr:col>
      <xdr:colOff>12700</xdr:colOff>
      <xdr:row>24</xdr:row>
      <xdr:rowOff>0</xdr:rowOff>
    </xdr:to>
    <xdr:sp macro="" textlink="">
      <xdr:nvSpPr>
        <xdr:cNvPr id="2561300" name="Line 330">
          <a:extLst>
            <a:ext uri="{FF2B5EF4-FFF2-40B4-BE49-F238E27FC236}">
              <a16:creationId xmlns:a16="http://schemas.microsoft.com/office/drawing/2014/main" id="{00000000-0008-0000-0D00-00001415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61301" name="Line 4">
          <a:extLst>
            <a:ext uri="{FF2B5EF4-FFF2-40B4-BE49-F238E27FC236}">
              <a16:creationId xmlns:a16="http://schemas.microsoft.com/office/drawing/2014/main" id="{00000000-0008-0000-0D00-000015152700}"/>
            </a:ext>
          </a:extLst>
        </xdr:cNvPr>
        <xdr:cNvSpPr>
          <a:spLocks noChangeShapeType="1"/>
        </xdr:cNvSpPr>
      </xdr:nvSpPr>
      <xdr:spPr bwMode="auto">
        <a:xfrm>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61302" name="Line 5">
          <a:extLst>
            <a:ext uri="{FF2B5EF4-FFF2-40B4-BE49-F238E27FC236}">
              <a16:creationId xmlns:a16="http://schemas.microsoft.com/office/drawing/2014/main" id="{00000000-0008-0000-0D00-000016152700}"/>
            </a:ext>
          </a:extLst>
        </xdr:cNvPr>
        <xdr:cNvSpPr>
          <a:spLocks noChangeShapeType="1"/>
        </xdr:cNvSpPr>
      </xdr:nvSpPr>
      <xdr:spPr bwMode="auto">
        <a:xfrm flipV="1">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61303" name="Line 8">
          <a:extLst>
            <a:ext uri="{FF2B5EF4-FFF2-40B4-BE49-F238E27FC236}">
              <a16:creationId xmlns:a16="http://schemas.microsoft.com/office/drawing/2014/main" id="{00000000-0008-0000-0D00-00001715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61304" name="Line 9">
          <a:extLst>
            <a:ext uri="{FF2B5EF4-FFF2-40B4-BE49-F238E27FC236}">
              <a16:creationId xmlns:a16="http://schemas.microsoft.com/office/drawing/2014/main" id="{00000000-0008-0000-0D00-00001815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61305" name="Line 10">
          <a:extLst>
            <a:ext uri="{FF2B5EF4-FFF2-40B4-BE49-F238E27FC236}">
              <a16:creationId xmlns:a16="http://schemas.microsoft.com/office/drawing/2014/main" id="{00000000-0008-0000-0D00-00001915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61306" name="Line 11">
          <a:extLst>
            <a:ext uri="{FF2B5EF4-FFF2-40B4-BE49-F238E27FC236}">
              <a16:creationId xmlns:a16="http://schemas.microsoft.com/office/drawing/2014/main" id="{00000000-0008-0000-0D00-00001A15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61307" name="Line 20">
          <a:extLst>
            <a:ext uri="{FF2B5EF4-FFF2-40B4-BE49-F238E27FC236}">
              <a16:creationId xmlns:a16="http://schemas.microsoft.com/office/drawing/2014/main" id="{00000000-0008-0000-0D00-00001B15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61308" name="Line 21">
          <a:extLst>
            <a:ext uri="{FF2B5EF4-FFF2-40B4-BE49-F238E27FC236}">
              <a16:creationId xmlns:a16="http://schemas.microsoft.com/office/drawing/2014/main" id="{00000000-0008-0000-0D00-00001C15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61309" name="Line 22">
          <a:extLst>
            <a:ext uri="{FF2B5EF4-FFF2-40B4-BE49-F238E27FC236}">
              <a16:creationId xmlns:a16="http://schemas.microsoft.com/office/drawing/2014/main" id="{00000000-0008-0000-0D00-00001D15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61310" name="Line 23">
          <a:extLst>
            <a:ext uri="{FF2B5EF4-FFF2-40B4-BE49-F238E27FC236}">
              <a16:creationId xmlns:a16="http://schemas.microsoft.com/office/drawing/2014/main" id="{00000000-0008-0000-0D00-00001E15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61311" name="Line 26">
          <a:extLst>
            <a:ext uri="{FF2B5EF4-FFF2-40B4-BE49-F238E27FC236}">
              <a16:creationId xmlns:a16="http://schemas.microsoft.com/office/drawing/2014/main" id="{00000000-0008-0000-0D00-00001F15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61312" name="Line 27">
          <a:extLst>
            <a:ext uri="{FF2B5EF4-FFF2-40B4-BE49-F238E27FC236}">
              <a16:creationId xmlns:a16="http://schemas.microsoft.com/office/drawing/2014/main" id="{00000000-0008-0000-0D00-00002015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61313" name="Line 28">
          <a:extLst>
            <a:ext uri="{FF2B5EF4-FFF2-40B4-BE49-F238E27FC236}">
              <a16:creationId xmlns:a16="http://schemas.microsoft.com/office/drawing/2014/main" id="{00000000-0008-0000-0D00-00002115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61314" name="Line 29">
          <a:extLst>
            <a:ext uri="{FF2B5EF4-FFF2-40B4-BE49-F238E27FC236}">
              <a16:creationId xmlns:a16="http://schemas.microsoft.com/office/drawing/2014/main" id="{00000000-0008-0000-0D00-000022152700}"/>
            </a:ext>
          </a:extLst>
        </xdr:cNvPr>
        <xdr:cNvSpPr>
          <a:spLocks noChangeShapeType="1"/>
        </xdr:cNvSpPr>
      </xdr:nvSpPr>
      <xdr:spPr bwMode="auto">
        <a:xfrm>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61315" name="Line 30">
          <a:extLst>
            <a:ext uri="{FF2B5EF4-FFF2-40B4-BE49-F238E27FC236}">
              <a16:creationId xmlns:a16="http://schemas.microsoft.com/office/drawing/2014/main" id="{00000000-0008-0000-0D00-000023152700}"/>
            </a:ext>
          </a:extLst>
        </xdr:cNvPr>
        <xdr:cNvSpPr>
          <a:spLocks noChangeShapeType="1"/>
        </xdr:cNvSpPr>
      </xdr:nvSpPr>
      <xdr:spPr bwMode="auto">
        <a:xfrm flipV="1">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61316" name="Line 31">
          <a:extLst>
            <a:ext uri="{FF2B5EF4-FFF2-40B4-BE49-F238E27FC236}">
              <a16:creationId xmlns:a16="http://schemas.microsoft.com/office/drawing/2014/main" id="{00000000-0008-0000-0D00-000024152700}"/>
            </a:ext>
          </a:extLst>
        </xdr:cNvPr>
        <xdr:cNvSpPr>
          <a:spLocks noChangeShapeType="1"/>
        </xdr:cNvSpPr>
      </xdr:nvSpPr>
      <xdr:spPr bwMode="auto">
        <a:xfrm>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61317" name="Line 32">
          <a:extLst>
            <a:ext uri="{FF2B5EF4-FFF2-40B4-BE49-F238E27FC236}">
              <a16:creationId xmlns:a16="http://schemas.microsoft.com/office/drawing/2014/main" id="{00000000-0008-0000-0D00-00002515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61318" name="Line 33">
          <a:extLst>
            <a:ext uri="{FF2B5EF4-FFF2-40B4-BE49-F238E27FC236}">
              <a16:creationId xmlns:a16="http://schemas.microsoft.com/office/drawing/2014/main" id="{00000000-0008-0000-0D00-00002615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61319" name="Line 34">
          <a:extLst>
            <a:ext uri="{FF2B5EF4-FFF2-40B4-BE49-F238E27FC236}">
              <a16:creationId xmlns:a16="http://schemas.microsoft.com/office/drawing/2014/main" id="{00000000-0008-0000-0D00-00002715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61320" name="Line 35">
          <a:extLst>
            <a:ext uri="{FF2B5EF4-FFF2-40B4-BE49-F238E27FC236}">
              <a16:creationId xmlns:a16="http://schemas.microsoft.com/office/drawing/2014/main" id="{00000000-0008-0000-0D00-00002815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27</xdr:row>
      <xdr:rowOff>0</xdr:rowOff>
    </xdr:to>
    <xdr:sp macro="" textlink="">
      <xdr:nvSpPr>
        <xdr:cNvPr id="2561321" name="Line 36">
          <a:extLst>
            <a:ext uri="{FF2B5EF4-FFF2-40B4-BE49-F238E27FC236}">
              <a16:creationId xmlns:a16="http://schemas.microsoft.com/office/drawing/2014/main" id="{00000000-0008-0000-0D00-00002915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61322" name="Line 38">
          <a:extLst>
            <a:ext uri="{FF2B5EF4-FFF2-40B4-BE49-F238E27FC236}">
              <a16:creationId xmlns:a16="http://schemas.microsoft.com/office/drawing/2014/main" id="{00000000-0008-0000-0D00-00002A152700}"/>
            </a:ext>
          </a:extLst>
        </xdr:cNvPr>
        <xdr:cNvSpPr>
          <a:spLocks noChangeShapeType="1"/>
        </xdr:cNvSpPr>
      </xdr:nvSpPr>
      <xdr:spPr bwMode="auto">
        <a:xfrm flipV="1">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61323" name="Line 39">
          <a:extLst>
            <a:ext uri="{FF2B5EF4-FFF2-40B4-BE49-F238E27FC236}">
              <a16:creationId xmlns:a16="http://schemas.microsoft.com/office/drawing/2014/main" id="{00000000-0008-0000-0D00-00002B152700}"/>
            </a:ext>
          </a:extLst>
        </xdr:cNvPr>
        <xdr:cNvSpPr>
          <a:spLocks noChangeShapeType="1"/>
        </xdr:cNvSpPr>
      </xdr:nvSpPr>
      <xdr:spPr bwMode="auto">
        <a:xfrm>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61324" name="Line 40">
          <a:extLst>
            <a:ext uri="{FF2B5EF4-FFF2-40B4-BE49-F238E27FC236}">
              <a16:creationId xmlns:a16="http://schemas.microsoft.com/office/drawing/2014/main" id="{00000000-0008-0000-0D00-00002C152700}"/>
            </a:ext>
          </a:extLst>
        </xdr:cNvPr>
        <xdr:cNvSpPr>
          <a:spLocks noChangeShapeType="1"/>
        </xdr:cNvSpPr>
      </xdr:nvSpPr>
      <xdr:spPr bwMode="auto">
        <a:xfrm flipV="1">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61325" name="Line 41">
          <a:extLst>
            <a:ext uri="{FF2B5EF4-FFF2-40B4-BE49-F238E27FC236}">
              <a16:creationId xmlns:a16="http://schemas.microsoft.com/office/drawing/2014/main" id="{00000000-0008-0000-0D00-00002D15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61326" name="Line 42">
          <a:extLst>
            <a:ext uri="{FF2B5EF4-FFF2-40B4-BE49-F238E27FC236}">
              <a16:creationId xmlns:a16="http://schemas.microsoft.com/office/drawing/2014/main" id="{00000000-0008-0000-0D00-00002E152700}"/>
            </a:ext>
          </a:extLst>
        </xdr:cNvPr>
        <xdr:cNvSpPr>
          <a:spLocks noChangeShapeType="1"/>
        </xdr:cNvSpPr>
      </xdr:nvSpPr>
      <xdr:spPr bwMode="auto">
        <a:xfrm flipV="1">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61327" name="Line 43">
          <a:extLst>
            <a:ext uri="{FF2B5EF4-FFF2-40B4-BE49-F238E27FC236}">
              <a16:creationId xmlns:a16="http://schemas.microsoft.com/office/drawing/2014/main" id="{00000000-0008-0000-0D00-00002F152700}"/>
            </a:ext>
          </a:extLst>
        </xdr:cNvPr>
        <xdr:cNvSpPr>
          <a:spLocks noChangeShapeType="1"/>
        </xdr:cNvSpPr>
      </xdr:nvSpPr>
      <xdr:spPr bwMode="auto">
        <a:xfrm>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61328" name="Line 44">
          <a:extLst>
            <a:ext uri="{FF2B5EF4-FFF2-40B4-BE49-F238E27FC236}">
              <a16:creationId xmlns:a16="http://schemas.microsoft.com/office/drawing/2014/main" id="{00000000-0008-0000-0D00-000030152700}"/>
            </a:ext>
          </a:extLst>
        </xdr:cNvPr>
        <xdr:cNvSpPr>
          <a:spLocks noChangeShapeType="1"/>
        </xdr:cNvSpPr>
      </xdr:nvSpPr>
      <xdr:spPr bwMode="auto">
        <a:xfrm flipV="1">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61329" name="Line 45">
          <a:extLst>
            <a:ext uri="{FF2B5EF4-FFF2-40B4-BE49-F238E27FC236}">
              <a16:creationId xmlns:a16="http://schemas.microsoft.com/office/drawing/2014/main" id="{00000000-0008-0000-0D00-000031152700}"/>
            </a:ext>
          </a:extLst>
        </xdr:cNvPr>
        <xdr:cNvSpPr>
          <a:spLocks noChangeShapeType="1"/>
        </xdr:cNvSpPr>
      </xdr:nvSpPr>
      <xdr:spPr bwMode="auto">
        <a:xfrm>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61330" name="Line 46">
          <a:extLst>
            <a:ext uri="{FF2B5EF4-FFF2-40B4-BE49-F238E27FC236}">
              <a16:creationId xmlns:a16="http://schemas.microsoft.com/office/drawing/2014/main" id="{00000000-0008-0000-0D00-00003215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61331" name="Line 47">
          <a:extLst>
            <a:ext uri="{FF2B5EF4-FFF2-40B4-BE49-F238E27FC236}">
              <a16:creationId xmlns:a16="http://schemas.microsoft.com/office/drawing/2014/main" id="{00000000-0008-0000-0D00-00003315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61332" name="Line 49">
          <a:extLst>
            <a:ext uri="{FF2B5EF4-FFF2-40B4-BE49-F238E27FC236}">
              <a16:creationId xmlns:a16="http://schemas.microsoft.com/office/drawing/2014/main" id="{00000000-0008-0000-0D00-00003415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61333" name="Line 50">
          <a:extLst>
            <a:ext uri="{FF2B5EF4-FFF2-40B4-BE49-F238E27FC236}">
              <a16:creationId xmlns:a16="http://schemas.microsoft.com/office/drawing/2014/main" id="{00000000-0008-0000-0D00-00003515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61334" name="Line 51">
          <a:extLst>
            <a:ext uri="{FF2B5EF4-FFF2-40B4-BE49-F238E27FC236}">
              <a16:creationId xmlns:a16="http://schemas.microsoft.com/office/drawing/2014/main" id="{00000000-0008-0000-0D00-00003615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61335" name="Line 52">
          <a:extLst>
            <a:ext uri="{FF2B5EF4-FFF2-40B4-BE49-F238E27FC236}">
              <a16:creationId xmlns:a16="http://schemas.microsoft.com/office/drawing/2014/main" id="{00000000-0008-0000-0D00-00003715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61336" name="Line 53">
          <a:extLst>
            <a:ext uri="{FF2B5EF4-FFF2-40B4-BE49-F238E27FC236}">
              <a16:creationId xmlns:a16="http://schemas.microsoft.com/office/drawing/2014/main" id="{00000000-0008-0000-0D00-000038152700}"/>
            </a:ext>
          </a:extLst>
        </xdr:cNvPr>
        <xdr:cNvSpPr>
          <a:spLocks noChangeShapeType="1"/>
        </xdr:cNvSpPr>
      </xdr:nvSpPr>
      <xdr:spPr bwMode="auto">
        <a:xfrm flipV="1">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61337" name="Line 54">
          <a:extLst>
            <a:ext uri="{FF2B5EF4-FFF2-40B4-BE49-F238E27FC236}">
              <a16:creationId xmlns:a16="http://schemas.microsoft.com/office/drawing/2014/main" id="{00000000-0008-0000-0D00-000039152700}"/>
            </a:ext>
          </a:extLst>
        </xdr:cNvPr>
        <xdr:cNvSpPr>
          <a:spLocks noChangeShapeType="1"/>
        </xdr:cNvSpPr>
      </xdr:nvSpPr>
      <xdr:spPr bwMode="auto">
        <a:xfrm>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61338" name="Line 58">
          <a:extLst>
            <a:ext uri="{FF2B5EF4-FFF2-40B4-BE49-F238E27FC236}">
              <a16:creationId xmlns:a16="http://schemas.microsoft.com/office/drawing/2014/main" id="{00000000-0008-0000-0D00-00003A15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61339" name="Line 59">
          <a:extLst>
            <a:ext uri="{FF2B5EF4-FFF2-40B4-BE49-F238E27FC236}">
              <a16:creationId xmlns:a16="http://schemas.microsoft.com/office/drawing/2014/main" id="{00000000-0008-0000-0D00-00003B15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61340" name="Line 129">
          <a:extLst>
            <a:ext uri="{FF2B5EF4-FFF2-40B4-BE49-F238E27FC236}">
              <a16:creationId xmlns:a16="http://schemas.microsoft.com/office/drawing/2014/main" id="{00000000-0008-0000-0D00-00003C152700}"/>
            </a:ext>
          </a:extLst>
        </xdr:cNvPr>
        <xdr:cNvSpPr>
          <a:spLocks noChangeShapeType="1"/>
        </xdr:cNvSpPr>
      </xdr:nvSpPr>
      <xdr:spPr bwMode="auto">
        <a:xfrm flipV="1">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61341" name="Line 130">
          <a:extLst>
            <a:ext uri="{FF2B5EF4-FFF2-40B4-BE49-F238E27FC236}">
              <a16:creationId xmlns:a16="http://schemas.microsoft.com/office/drawing/2014/main" id="{00000000-0008-0000-0D00-00003D152700}"/>
            </a:ext>
          </a:extLst>
        </xdr:cNvPr>
        <xdr:cNvSpPr>
          <a:spLocks noChangeShapeType="1"/>
        </xdr:cNvSpPr>
      </xdr:nvSpPr>
      <xdr:spPr bwMode="auto">
        <a:xfrm>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61342" name="Line 131">
          <a:extLst>
            <a:ext uri="{FF2B5EF4-FFF2-40B4-BE49-F238E27FC236}">
              <a16:creationId xmlns:a16="http://schemas.microsoft.com/office/drawing/2014/main" id="{00000000-0008-0000-0D00-00003E15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61343" name="Line 132">
          <a:extLst>
            <a:ext uri="{FF2B5EF4-FFF2-40B4-BE49-F238E27FC236}">
              <a16:creationId xmlns:a16="http://schemas.microsoft.com/office/drawing/2014/main" id="{00000000-0008-0000-0D00-00003F15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61344" name="Line 133">
          <a:extLst>
            <a:ext uri="{FF2B5EF4-FFF2-40B4-BE49-F238E27FC236}">
              <a16:creationId xmlns:a16="http://schemas.microsoft.com/office/drawing/2014/main" id="{00000000-0008-0000-0D00-00004015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61345" name="Line 134">
          <a:extLst>
            <a:ext uri="{FF2B5EF4-FFF2-40B4-BE49-F238E27FC236}">
              <a16:creationId xmlns:a16="http://schemas.microsoft.com/office/drawing/2014/main" id="{00000000-0008-0000-0D00-00004115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1346" name="Line 135">
          <a:extLst>
            <a:ext uri="{FF2B5EF4-FFF2-40B4-BE49-F238E27FC236}">
              <a16:creationId xmlns:a16="http://schemas.microsoft.com/office/drawing/2014/main" id="{00000000-0008-0000-0D00-00004215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24</xdr:row>
      <xdr:rowOff>0</xdr:rowOff>
    </xdr:to>
    <xdr:sp macro="" textlink="">
      <xdr:nvSpPr>
        <xdr:cNvPr id="2561347" name="Line 136">
          <a:extLst>
            <a:ext uri="{FF2B5EF4-FFF2-40B4-BE49-F238E27FC236}">
              <a16:creationId xmlns:a16="http://schemas.microsoft.com/office/drawing/2014/main" id="{00000000-0008-0000-0D00-00004315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61348" name="Line 141">
          <a:extLst>
            <a:ext uri="{FF2B5EF4-FFF2-40B4-BE49-F238E27FC236}">
              <a16:creationId xmlns:a16="http://schemas.microsoft.com/office/drawing/2014/main" id="{00000000-0008-0000-0D00-000044152700}"/>
            </a:ext>
          </a:extLst>
        </xdr:cNvPr>
        <xdr:cNvSpPr>
          <a:spLocks noChangeShapeType="1"/>
        </xdr:cNvSpPr>
      </xdr:nvSpPr>
      <xdr:spPr bwMode="auto">
        <a:xfrm flipV="1">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61349" name="Line 142">
          <a:extLst>
            <a:ext uri="{FF2B5EF4-FFF2-40B4-BE49-F238E27FC236}">
              <a16:creationId xmlns:a16="http://schemas.microsoft.com/office/drawing/2014/main" id="{00000000-0008-0000-0D00-000045152700}"/>
            </a:ext>
          </a:extLst>
        </xdr:cNvPr>
        <xdr:cNvSpPr>
          <a:spLocks noChangeShapeType="1"/>
        </xdr:cNvSpPr>
      </xdr:nvSpPr>
      <xdr:spPr bwMode="auto">
        <a:xfrm>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1350" name="Line 612">
          <a:extLst>
            <a:ext uri="{FF2B5EF4-FFF2-40B4-BE49-F238E27FC236}">
              <a16:creationId xmlns:a16="http://schemas.microsoft.com/office/drawing/2014/main" id="{00000000-0008-0000-0D00-00004615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0</xdr:col>
      <xdr:colOff>0</xdr:colOff>
      <xdr:row>6</xdr:row>
      <xdr:rowOff>0</xdr:rowOff>
    </xdr:from>
    <xdr:to>
      <xdr:col>3</xdr:col>
      <xdr:colOff>0</xdr:colOff>
      <xdr:row>7</xdr:row>
      <xdr:rowOff>0</xdr:rowOff>
    </xdr:to>
    <xdr:sp macro="" textlink="">
      <xdr:nvSpPr>
        <xdr:cNvPr id="417527" name="Text Box 5879">
          <a:hlinkClick xmlns:r="http://schemas.openxmlformats.org/officeDocument/2006/relationships" r:id="rId1"/>
          <a:extLst>
            <a:ext uri="{FF2B5EF4-FFF2-40B4-BE49-F238E27FC236}">
              <a16:creationId xmlns:a16="http://schemas.microsoft.com/office/drawing/2014/main" id="{00000000-0008-0000-0D00-0000F75E0600}"/>
            </a:ext>
          </a:extLst>
        </xdr:cNvPr>
        <xdr:cNvSpPr txBox="1">
          <a:spLocks noChangeArrowheads="1"/>
        </xdr:cNvSpPr>
      </xdr:nvSpPr>
      <xdr:spPr bwMode="auto">
        <a:xfrm>
          <a:off x="0" y="774700"/>
          <a:ext cx="1714500" cy="2794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zur Startseite</a:t>
          </a:r>
        </a:p>
      </xdr:txBody>
    </xdr:sp>
    <xdr:clientData fPrintsWithSheet="0"/>
  </xdr:twoCellAnchor>
  <xdr:twoCellAnchor>
    <xdr:from>
      <xdr:col>0</xdr:col>
      <xdr:colOff>0</xdr:colOff>
      <xdr:row>8</xdr:row>
      <xdr:rowOff>0</xdr:rowOff>
    </xdr:from>
    <xdr:to>
      <xdr:col>3</xdr:col>
      <xdr:colOff>0</xdr:colOff>
      <xdr:row>9</xdr:row>
      <xdr:rowOff>0</xdr:rowOff>
    </xdr:to>
    <xdr:sp macro="" textlink="">
      <xdr:nvSpPr>
        <xdr:cNvPr id="417530" name="Text Box 5882">
          <a:hlinkClick xmlns:r="http://schemas.openxmlformats.org/officeDocument/2006/relationships" r:id="rId2"/>
          <a:extLst>
            <a:ext uri="{FF2B5EF4-FFF2-40B4-BE49-F238E27FC236}">
              <a16:creationId xmlns:a16="http://schemas.microsoft.com/office/drawing/2014/main" id="{00000000-0008-0000-0D00-0000FA5E0600}"/>
            </a:ext>
          </a:extLst>
        </xdr:cNvPr>
        <xdr:cNvSpPr txBox="1">
          <a:spLocks noChangeArrowheads="1"/>
        </xdr:cNvSpPr>
      </xdr:nvSpPr>
      <xdr:spPr bwMode="auto">
        <a:xfrm>
          <a:off x="0" y="13335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 weiter &gt;</a:t>
          </a:r>
        </a:p>
      </xdr:txBody>
    </xdr:sp>
    <xdr:clientData fPrintsWithSheet="0"/>
  </xdr:twoCellAnchor>
  <xdr:twoCellAnchor>
    <xdr:from>
      <xdr:col>0</xdr:col>
      <xdr:colOff>0</xdr:colOff>
      <xdr:row>10</xdr:row>
      <xdr:rowOff>0</xdr:rowOff>
    </xdr:from>
    <xdr:to>
      <xdr:col>3</xdr:col>
      <xdr:colOff>0</xdr:colOff>
      <xdr:row>11</xdr:row>
      <xdr:rowOff>0</xdr:rowOff>
    </xdr:to>
    <xdr:sp macro="" textlink="">
      <xdr:nvSpPr>
        <xdr:cNvPr id="417531" name="Text Box 5883">
          <a:hlinkClick xmlns:r="http://schemas.openxmlformats.org/officeDocument/2006/relationships" r:id="rId3"/>
          <a:extLst>
            <a:ext uri="{FF2B5EF4-FFF2-40B4-BE49-F238E27FC236}">
              <a16:creationId xmlns:a16="http://schemas.microsoft.com/office/drawing/2014/main" id="{00000000-0008-0000-0D00-0000FB5E0600}"/>
            </a:ext>
          </a:extLst>
        </xdr:cNvPr>
        <xdr:cNvSpPr txBox="1">
          <a:spLocks noChangeArrowheads="1"/>
        </xdr:cNvSpPr>
      </xdr:nvSpPr>
      <xdr:spPr bwMode="auto">
        <a:xfrm>
          <a:off x="0" y="18923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&lt; zurück</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1</xdr:col>
      <xdr:colOff>12700</xdr:colOff>
      <xdr:row>24</xdr:row>
      <xdr:rowOff>0</xdr:rowOff>
    </xdr:from>
    <xdr:to>
      <xdr:col>2</xdr:col>
      <xdr:colOff>12700</xdr:colOff>
      <xdr:row>24</xdr:row>
      <xdr:rowOff>0</xdr:rowOff>
    </xdr:to>
    <xdr:sp macro="" textlink="">
      <xdr:nvSpPr>
        <xdr:cNvPr id="2486262" name="Line 135">
          <a:extLst>
            <a:ext uri="{FF2B5EF4-FFF2-40B4-BE49-F238E27FC236}">
              <a16:creationId xmlns:a16="http://schemas.microsoft.com/office/drawing/2014/main" id="{00000000-0008-0000-0E00-0000F6EF25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486263" name="Line 330">
          <a:extLst>
            <a:ext uri="{FF2B5EF4-FFF2-40B4-BE49-F238E27FC236}">
              <a16:creationId xmlns:a16="http://schemas.microsoft.com/office/drawing/2014/main" id="{00000000-0008-0000-0E00-0000F7EF25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486264" name="Line 330">
          <a:extLst>
            <a:ext uri="{FF2B5EF4-FFF2-40B4-BE49-F238E27FC236}">
              <a16:creationId xmlns:a16="http://schemas.microsoft.com/office/drawing/2014/main" id="{00000000-0008-0000-0E00-0000F8EF25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486265" name="Line 4">
          <a:extLst>
            <a:ext uri="{FF2B5EF4-FFF2-40B4-BE49-F238E27FC236}">
              <a16:creationId xmlns:a16="http://schemas.microsoft.com/office/drawing/2014/main" id="{00000000-0008-0000-0E00-0000F9EF2500}"/>
            </a:ext>
          </a:extLst>
        </xdr:cNvPr>
        <xdr:cNvSpPr>
          <a:spLocks noChangeShapeType="1"/>
        </xdr:cNvSpPr>
      </xdr:nvSpPr>
      <xdr:spPr bwMode="auto">
        <a:xfrm>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486266" name="Line 5">
          <a:extLst>
            <a:ext uri="{FF2B5EF4-FFF2-40B4-BE49-F238E27FC236}">
              <a16:creationId xmlns:a16="http://schemas.microsoft.com/office/drawing/2014/main" id="{00000000-0008-0000-0E00-0000FAEF2500}"/>
            </a:ext>
          </a:extLst>
        </xdr:cNvPr>
        <xdr:cNvSpPr>
          <a:spLocks noChangeShapeType="1"/>
        </xdr:cNvSpPr>
      </xdr:nvSpPr>
      <xdr:spPr bwMode="auto">
        <a:xfrm flipV="1">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486267" name="Line 8">
          <a:extLst>
            <a:ext uri="{FF2B5EF4-FFF2-40B4-BE49-F238E27FC236}">
              <a16:creationId xmlns:a16="http://schemas.microsoft.com/office/drawing/2014/main" id="{00000000-0008-0000-0E00-0000FBEF25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486268" name="Line 9">
          <a:extLst>
            <a:ext uri="{FF2B5EF4-FFF2-40B4-BE49-F238E27FC236}">
              <a16:creationId xmlns:a16="http://schemas.microsoft.com/office/drawing/2014/main" id="{00000000-0008-0000-0E00-0000FCEF25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486269" name="Line 10">
          <a:extLst>
            <a:ext uri="{FF2B5EF4-FFF2-40B4-BE49-F238E27FC236}">
              <a16:creationId xmlns:a16="http://schemas.microsoft.com/office/drawing/2014/main" id="{00000000-0008-0000-0E00-0000FDEF25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486270" name="Line 11">
          <a:extLst>
            <a:ext uri="{FF2B5EF4-FFF2-40B4-BE49-F238E27FC236}">
              <a16:creationId xmlns:a16="http://schemas.microsoft.com/office/drawing/2014/main" id="{00000000-0008-0000-0E00-0000FEEF25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486271" name="Line 20">
          <a:extLst>
            <a:ext uri="{FF2B5EF4-FFF2-40B4-BE49-F238E27FC236}">
              <a16:creationId xmlns:a16="http://schemas.microsoft.com/office/drawing/2014/main" id="{00000000-0008-0000-0E00-0000FFEF25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99936" name="Line 21">
          <a:extLst>
            <a:ext uri="{FF2B5EF4-FFF2-40B4-BE49-F238E27FC236}">
              <a16:creationId xmlns:a16="http://schemas.microsoft.com/office/drawing/2014/main" id="{00000000-0008-0000-0E00-000000AC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99937" name="Line 22">
          <a:extLst>
            <a:ext uri="{FF2B5EF4-FFF2-40B4-BE49-F238E27FC236}">
              <a16:creationId xmlns:a16="http://schemas.microsoft.com/office/drawing/2014/main" id="{00000000-0008-0000-0E00-000001AC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99938" name="Line 23">
          <a:extLst>
            <a:ext uri="{FF2B5EF4-FFF2-40B4-BE49-F238E27FC236}">
              <a16:creationId xmlns:a16="http://schemas.microsoft.com/office/drawing/2014/main" id="{00000000-0008-0000-0E00-000002AC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99939" name="Line 26">
          <a:extLst>
            <a:ext uri="{FF2B5EF4-FFF2-40B4-BE49-F238E27FC236}">
              <a16:creationId xmlns:a16="http://schemas.microsoft.com/office/drawing/2014/main" id="{00000000-0008-0000-0E00-000003AC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99940" name="Line 27">
          <a:extLst>
            <a:ext uri="{FF2B5EF4-FFF2-40B4-BE49-F238E27FC236}">
              <a16:creationId xmlns:a16="http://schemas.microsoft.com/office/drawing/2014/main" id="{00000000-0008-0000-0E00-000004AC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99941" name="Line 28">
          <a:extLst>
            <a:ext uri="{FF2B5EF4-FFF2-40B4-BE49-F238E27FC236}">
              <a16:creationId xmlns:a16="http://schemas.microsoft.com/office/drawing/2014/main" id="{00000000-0008-0000-0E00-000005AC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99942" name="Line 29">
          <a:extLst>
            <a:ext uri="{FF2B5EF4-FFF2-40B4-BE49-F238E27FC236}">
              <a16:creationId xmlns:a16="http://schemas.microsoft.com/office/drawing/2014/main" id="{00000000-0008-0000-0E00-000006AC2700}"/>
            </a:ext>
          </a:extLst>
        </xdr:cNvPr>
        <xdr:cNvSpPr>
          <a:spLocks noChangeShapeType="1"/>
        </xdr:cNvSpPr>
      </xdr:nvSpPr>
      <xdr:spPr bwMode="auto">
        <a:xfrm>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99943" name="Line 30">
          <a:extLst>
            <a:ext uri="{FF2B5EF4-FFF2-40B4-BE49-F238E27FC236}">
              <a16:creationId xmlns:a16="http://schemas.microsoft.com/office/drawing/2014/main" id="{00000000-0008-0000-0E00-000007AC2700}"/>
            </a:ext>
          </a:extLst>
        </xdr:cNvPr>
        <xdr:cNvSpPr>
          <a:spLocks noChangeShapeType="1"/>
        </xdr:cNvSpPr>
      </xdr:nvSpPr>
      <xdr:spPr bwMode="auto">
        <a:xfrm flipV="1">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99944" name="Line 31">
          <a:extLst>
            <a:ext uri="{FF2B5EF4-FFF2-40B4-BE49-F238E27FC236}">
              <a16:creationId xmlns:a16="http://schemas.microsoft.com/office/drawing/2014/main" id="{00000000-0008-0000-0E00-000008AC2700}"/>
            </a:ext>
          </a:extLst>
        </xdr:cNvPr>
        <xdr:cNvSpPr>
          <a:spLocks noChangeShapeType="1"/>
        </xdr:cNvSpPr>
      </xdr:nvSpPr>
      <xdr:spPr bwMode="auto">
        <a:xfrm>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99945" name="Line 32">
          <a:extLst>
            <a:ext uri="{FF2B5EF4-FFF2-40B4-BE49-F238E27FC236}">
              <a16:creationId xmlns:a16="http://schemas.microsoft.com/office/drawing/2014/main" id="{00000000-0008-0000-0E00-000009AC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99946" name="Line 33">
          <a:extLst>
            <a:ext uri="{FF2B5EF4-FFF2-40B4-BE49-F238E27FC236}">
              <a16:creationId xmlns:a16="http://schemas.microsoft.com/office/drawing/2014/main" id="{00000000-0008-0000-0E00-00000AAC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99947" name="Line 34">
          <a:extLst>
            <a:ext uri="{FF2B5EF4-FFF2-40B4-BE49-F238E27FC236}">
              <a16:creationId xmlns:a16="http://schemas.microsoft.com/office/drawing/2014/main" id="{00000000-0008-0000-0E00-00000BAC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99948" name="Line 35">
          <a:extLst>
            <a:ext uri="{FF2B5EF4-FFF2-40B4-BE49-F238E27FC236}">
              <a16:creationId xmlns:a16="http://schemas.microsoft.com/office/drawing/2014/main" id="{00000000-0008-0000-0E00-00000CAC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27</xdr:row>
      <xdr:rowOff>0</xdr:rowOff>
    </xdr:to>
    <xdr:sp macro="" textlink="">
      <xdr:nvSpPr>
        <xdr:cNvPr id="2599949" name="Line 36">
          <a:extLst>
            <a:ext uri="{FF2B5EF4-FFF2-40B4-BE49-F238E27FC236}">
              <a16:creationId xmlns:a16="http://schemas.microsoft.com/office/drawing/2014/main" id="{00000000-0008-0000-0E00-00000DAC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99950" name="Line 38">
          <a:extLst>
            <a:ext uri="{FF2B5EF4-FFF2-40B4-BE49-F238E27FC236}">
              <a16:creationId xmlns:a16="http://schemas.microsoft.com/office/drawing/2014/main" id="{00000000-0008-0000-0E00-00000EAC2700}"/>
            </a:ext>
          </a:extLst>
        </xdr:cNvPr>
        <xdr:cNvSpPr>
          <a:spLocks noChangeShapeType="1"/>
        </xdr:cNvSpPr>
      </xdr:nvSpPr>
      <xdr:spPr bwMode="auto">
        <a:xfrm flipV="1">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99951" name="Line 39">
          <a:extLst>
            <a:ext uri="{FF2B5EF4-FFF2-40B4-BE49-F238E27FC236}">
              <a16:creationId xmlns:a16="http://schemas.microsoft.com/office/drawing/2014/main" id="{00000000-0008-0000-0E00-00000FAC2700}"/>
            </a:ext>
          </a:extLst>
        </xdr:cNvPr>
        <xdr:cNvSpPr>
          <a:spLocks noChangeShapeType="1"/>
        </xdr:cNvSpPr>
      </xdr:nvSpPr>
      <xdr:spPr bwMode="auto">
        <a:xfrm>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99952" name="Line 40">
          <a:extLst>
            <a:ext uri="{FF2B5EF4-FFF2-40B4-BE49-F238E27FC236}">
              <a16:creationId xmlns:a16="http://schemas.microsoft.com/office/drawing/2014/main" id="{00000000-0008-0000-0E00-000010AC2700}"/>
            </a:ext>
          </a:extLst>
        </xdr:cNvPr>
        <xdr:cNvSpPr>
          <a:spLocks noChangeShapeType="1"/>
        </xdr:cNvSpPr>
      </xdr:nvSpPr>
      <xdr:spPr bwMode="auto">
        <a:xfrm flipV="1">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99953" name="Line 41">
          <a:extLst>
            <a:ext uri="{FF2B5EF4-FFF2-40B4-BE49-F238E27FC236}">
              <a16:creationId xmlns:a16="http://schemas.microsoft.com/office/drawing/2014/main" id="{00000000-0008-0000-0E00-000011AC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99954" name="Line 42">
          <a:extLst>
            <a:ext uri="{FF2B5EF4-FFF2-40B4-BE49-F238E27FC236}">
              <a16:creationId xmlns:a16="http://schemas.microsoft.com/office/drawing/2014/main" id="{00000000-0008-0000-0E00-000012AC2700}"/>
            </a:ext>
          </a:extLst>
        </xdr:cNvPr>
        <xdr:cNvSpPr>
          <a:spLocks noChangeShapeType="1"/>
        </xdr:cNvSpPr>
      </xdr:nvSpPr>
      <xdr:spPr bwMode="auto">
        <a:xfrm flipV="1">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99955" name="Line 43">
          <a:extLst>
            <a:ext uri="{FF2B5EF4-FFF2-40B4-BE49-F238E27FC236}">
              <a16:creationId xmlns:a16="http://schemas.microsoft.com/office/drawing/2014/main" id="{00000000-0008-0000-0E00-000013AC2700}"/>
            </a:ext>
          </a:extLst>
        </xdr:cNvPr>
        <xdr:cNvSpPr>
          <a:spLocks noChangeShapeType="1"/>
        </xdr:cNvSpPr>
      </xdr:nvSpPr>
      <xdr:spPr bwMode="auto">
        <a:xfrm>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99956" name="Line 44">
          <a:extLst>
            <a:ext uri="{FF2B5EF4-FFF2-40B4-BE49-F238E27FC236}">
              <a16:creationId xmlns:a16="http://schemas.microsoft.com/office/drawing/2014/main" id="{00000000-0008-0000-0E00-000014AC2700}"/>
            </a:ext>
          </a:extLst>
        </xdr:cNvPr>
        <xdr:cNvSpPr>
          <a:spLocks noChangeShapeType="1"/>
        </xdr:cNvSpPr>
      </xdr:nvSpPr>
      <xdr:spPr bwMode="auto">
        <a:xfrm flipV="1">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99957" name="Line 45">
          <a:extLst>
            <a:ext uri="{FF2B5EF4-FFF2-40B4-BE49-F238E27FC236}">
              <a16:creationId xmlns:a16="http://schemas.microsoft.com/office/drawing/2014/main" id="{00000000-0008-0000-0E00-000015AC2700}"/>
            </a:ext>
          </a:extLst>
        </xdr:cNvPr>
        <xdr:cNvSpPr>
          <a:spLocks noChangeShapeType="1"/>
        </xdr:cNvSpPr>
      </xdr:nvSpPr>
      <xdr:spPr bwMode="auto">
        <a:xfrm>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99958" name="Line 46">
          <a:extLst>
            <a:ext uri="{FF2B5EF4-FFF2-40B4-BE49-F238E27FC236}">
              <a16:creationId xmlns:a16="http://schemas.microsoft.com/office/drawing/2014/main" id="{00000000-0008-0000-0E00-000016AC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99959" name="Line 47">
          <a:extLst>
            <a:ext uri="{FF2B5EF4-FFF2-40B4-BE49-F238E27FC236}">
              <a16:creationId xmlns:a16="http://schemas.microsoft.com/office/drawing/2014/main" id="{00000000-0008-0000-0E00-000017AC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99960" name="Line 49">
          <a:extLst>
            <a:ext uri="{FF2B5EF4-FFF2-40B4-BE49-F238E27FC236}">
              <a16:creationId xmlns:a16="http://schemas.microsoft.com/office/drawing/2014/main" id="{00000000-0008-0000-0E00-000018AC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99961" name="Line 50">
          <a:extLst>
            <a:ext uri="{FF2B5EF4-FFF2-40B4-BE49-F238E27FC236}">
              <a16:creationId xmlns:a16="http://schemas.microsoft.com/office/drawing/2014/main" id="{00000000-0008-0000-0E00-000019AC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99962" name="Line 51">
          <a:extLst>
            <a:ext uri="{FF2B5EF4-FFF2-40B4-BE49-F238E27FC236}">
              <a16:creationId xmlns:a16="http://schemas.microsoft.com/office/drawing/2014/main" id="{00000000-0008-0000-0E00-00001AAC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99963" name="Line 52">
          <a:extLst>
            <a:ext uri="{FF2B5EF4-FFF2-40B4-BE49-F238E27FC236}">
              <a16:creationId xmlns:a16="http://schemas.microsoft.com/office/drawing/2014/main" id="{00000000-0008-0000-0E00-00001BAC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99964" name="Line 53">
          <a:extLst>
            <a:ext uri="{FF2B5EF4-FFF2-40B4-BE49-F238E27FC236}">
              <a16:creationId xmlns:a16="http://schemas.microsoft.com/office/drawing/2014/main" id="{00000000-0008-0000-0E00-00001CAC2700}"/>
            </a:ext>
          </a:extLst>
        </xdr:cNvPr>
        <xdr:cNvSpPr>
          <a:spLocks noChangeShapeType="1"/>
        </xdr:cNvSpPr>
      </xdr:nvSpPr>
      <xdr:spPr bwMode="auto">
        <a:xfrm flipV="1">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99965" name="Line 54">
          <a:extLst>
            <a:ext uri="{FF2B5EF4-FFF2-40B4-BE49-F238E27FC236}">
              <a16:creationId xmlns:a16="http://schemas.microsoft.com/office/drawing/2014/main" id="{00000000-0008-0000-0E00-00001DAC2700}"/>
            </a:ext>
          </a:extLst>
        </xdr:cNvPr>
        <xdr:cNvSpPr>
          <a:spLocks noChangeShapeType="1"/>
        </xdr:cNvSpPr>
      </xdr:nvSpPr>
      <xdr:spPr bwMode="auto">
        <a:xfrm>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99966" name="Line 58">
          <a:extLst>
            <a:ext uri="{FF2B5EF4-FFF2-40B4-BE49-F238E27FC236}">
              <a16:creationId xmlns:a16="http://schemas.microsoft.com/office/drawing/2014/main" id="{00000000-0008-0000-0E00-00001EAC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99967" name="Line 59">
          <a:extLst>
            <a:ext uri="{FF2B5EF4-FFF2-40B4-BE49-F238E27FC236}">
              <a16:creationId xmlns:a16="http://schemas.microsoft.com/office/drawing/2014/main" id="{00000000-0008-0000-0E00-00001FAC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99968" name="Line 129">
          <a:extLst>
            <a:ext uri="{FF2B5EF4-FFF2-40B4-BE49-F238E27FC236}">
              <a16:creationId xmlns:a16="http://schemas.microsoft.com/office/drawing/2014/main" id="{00000000-0008-0000-0E00-000020AC2700}"/>
            </a:ext>
          </a:extLst>
        </xdr:cNvPr>
        <xdr:cNvSpPr>
          <a:spLocks noChangeShapeType="1"/>
        </xdr:cNvSpPr>
      </xdr:nvSpPr>
      <xdr:spPr bwMode="auto">
        <a:xfrm flipV="1">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99969" name="Line 130">
          <a:extLst>
            <a:ext uri="{FF2B5EF4-FFF2-40B4-BE49-F238E27FC236}">
              <a16:creationId xmlns:a16="http://schemas.microsoft.com/office/drawing/2014/main" id="{00000000-0008-0000-0E00-000021AC2700}"/>
            </a:ext>
          </a:extLst>
        </xdr:cNvPr>
        <xdr:cNvSpPr>
          <a:spLocks noChangeShapeType="1"/>
        </xdr:cNvSpPr>
      </xdr:nvSpPr>
      <xdr:spPr bwMode="auto">
        <a:xfrm>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99970" name="Line 131">
          <a:extLst>
            <a:ext uri="{FF2B5EF4-FFF2-40B4-BE49-F238E27FC236}">
              <a16:creationId xmlns:a16="http://schemas.microsoft.com/office/drawing/2014/main" id="{00000000-0008-0000-0E00-000022AC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99971" name="Line 132">
          <a:extLst>
            <a:ext uri="{FF2B5EF4-FFF2-40B4-BE49-F238E27FC236}">
              <a16:creationId xmlns:a16="http://schemas.microsoft.com/office/drawing/2014/main" id="{00000000-0008-0000-0E00-000023AC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99972" name="Line 133">
          <a:extLst>
            <a:ext uri="{FF2B5EF4-FFF2-40B4-BE49-F238E27FC236}">
              <a16:creationId xmlns:a16="http://schemas.microsoft.com/office/drawing/2014/main" id="{00000000-0008-0000-0E00-000024AC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99973" name="Line 134">
          <a:extLst>
            <a:ext uri="{FF2B5EF4-FFF2-40B4-BE49-F238E27FC236}">
              <a16:creationId xmlns:a16="http://schemas.microsoft.com/office/drawing/2014/main" id="{00000000-0008-0000-0E00-000025AC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99974" name="Line 135">
          <a:extLst>
            <a:ext uri="{FF2B5EF4-FFF2-40B4-BE49-F238E27FC236}">
              <a16:creationId xmlns:a16="http://schemas.microsoft.com/office/drawing/2014/main" id="{00000000-0008-0000-0E00-000026A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24</xdr:row>
      <xdr:rowOff>0</xdr:rowOff>
    </xdr:to>
    <xdr:sp macro="" textlink="">
      <xdr:nvSpPr>
        <xdr:cNvPr id="2599975" name="Line 136">
          <a:extLst>
            <a:ext uri="{FF2B5EF4-FFF2-40B4-BE49-F238E27FC236}">
              <a16:creationId xmlns:a16="http://schemas.microsoft.com/office/drawing/2014/main" id="{00000000-0008-0000-0E00-000027AC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99976" name="Line 141">
          <a:extLst>
            <a:ext uri="{FF2B5EF4-FFF2-40B4-BE49-F238E27FC236}">
              <a16:creationId xmlns:a16="http://schemas.microsoft.com/office/drawing/2014/main" id="{00000000-0008-0000-0E00-000028AC2700}"/>
            </a:ext>
          </a:extLst>
        </xdr:cNvPr>
        <xdr:cNvSpPr>
          <a:spLocks noChangeShapeType="1"/>
        </xdr:cNvSpPr>
      </xdr:nvSpPr>
      <xdr:spPr bwMode="auto">
        <a:xfrm flipV="1">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99977" name="Line 142">
          <a:extLst>
            <a:ext uri="{FF2B5EF4-FFF2-40B4-BE49-F238E27FC236}">
              <a16:creationId xmlns:a16="http://schemas.microsoft.com/office/drawing/2014/main" id="{00000000-0008-0000-0E00-000029AC2700}"/>
            </a:ext>
          </a:extLst>
        </xdr:cNvPr>
        <xdr:cNvSpPr>
          <a:spLocks noChangeShapeType="1"/>
        </xdr:cNvSpPr>
      </xdr:nvSpPr>
      <xdr:spPr bwMode="auto">
        <a:xfrm>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99978" name="Line 612">
          <a:extLst>
            <a:ext uri="{FF2B5EF4-FFF2-40B4-BE49-F238E27FC236}">
              <a16:creationId xmlns:a16="http://schemas.microsoft.com/office/drawing/2014/main" id="{00000000-0008-0000-0E00-00002AA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0</xdr:col>
      <xdr:colOff>0</xdr:colOff>
      <xdr:row>6</xdr:row>
      <xdr:rowOff>0</xdr:rowOff>
    </xdr:from>
    <xdr:to>
      <xdr:col>3</xdr:col>
      <xdr:colOff>0</xdr:colOff>
      <xdr:row>7</xdr:row>
      <xdr:rowOff>0</xdr:rowOff>
    </xdr:to>
    <xdr:sp macro="" textlink="">
      <xdr:nvSpPr>
        <xdr:cNvPr id="455983" name="Text Box 5423">
          <a:hlinkClick xmlns:r="http://schemas.openxmlformats.org/officeDocument/2006/relationships" r:id="rId1"/>
          <a:extLst>
            <a:ext uri="{FF2B5EF4-FFF2-40B4-BE49-F238E27FC236}">
              <a16:creationId xmlns:a16="http://schemas.microsoft.com/office/drawing/2014/main" id="{00000000-0008-0000-0E00-00002FF50600}"/>
            </a:ext>
          </a:extLst>
        </xdr:cNvPr>
        <xdr:cNvSpPr txBox="1">
          <a:spLocks noChangeArrowheads="1"/>
        </xdr:cNvSpPr>
      </xdr:nvSpPr>
      <xdr:spPr bwMode="auto">
        <a:xfrm>
          <a:off x="0" y="774700"/>
          <a:ext cx="1714500" cy="2794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zur Startseite</a:t>
          </a:r>
        </a:p>
      </xdr:txBody>
    </xdr:sp>
    <xdr:clientData fPrintsWithSheet="0"/>
  </xdr:twoCellAnchor>
  <xdr:twoCellAnchor>
    <xdr:from>
      <xdr:col>0</xdr:col>
      <xdr:colOff>0</xdr:colOff>
      <xdr:row>8</xdr:row>
      <xdr:rowOff>0</xdr:rowOff>
    </xdr:from>
    <xdr:to>
      <xdr:col>3</xdr:col>
      <xdr:colOff>0</xdr:colOff>
      <xdr:row>9</xdr:row>
      <xdr:rowOff>0</xdr:rowOff>
    </xdr:to>
    <xdr:sp macro="" textlink="">
      <xdr:nvSpPr>
        <xdr:cNvPr id="455984" name="Text Box 5424">
          <a:hlinkClick xmlns:r="http://schemas.openxmlformats.org/officeDocument/2006/relationships" r:id="rId2"/>
          <a:extLst>
            <a:ext uri="{FF2B5EF4-FFF2-40B4-BE49-F238E27FC236}">
              <a16:creationId xmlns:a16="http://schemas.microsoft.com/office/drawing/2014/main" id="{00000000-0008-0000-0E00-000030F50600}"/>
            </a:ext>
          </a:extLst>
        </xdr:cNvPr>
        <xdr:cNvSpPr txBox="1">
          <a:spLocks noChangeArrowheads="1"/>
        </xdr:cNvSpPr>
      </xdr:nvSpPr>
      <xdr:spPr bwMode="auto">
        <a:xfrm>
          <a:off x="0" y="13335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 weiter &gt;</a:t>
          </a:r>
        </a:p>
      </xdr:txBody>
    </xdr:sp>
    <xdr:clientData fPrintsWithSheet="0"/>
  </xdr:twoCellAnchor>
  <xdr:twoCellAnchor>
    <xdr:from>
      <xdr:col>0</xdr:col>
      <xdr:colOff>0</xdr:colOff>
      <xdr:row>10</xdr:row>
      <xdr:rowOff>0</xdr:rowOff>
    </xdr:from>
    <xdr:to>
      <xdr:col>3</xdr:col>
      <xdr:colOff>0</xdr:colOff>
      <xdr:row>11</xdr:row>
      <xdr:rowOff>0</xdr:rowOff>
    </xdr:to>
    <xdr:sp macro="" textlink="">
      <xdr:nvSpPr>
        <xdr:cNvPr id="455985" name="Text Box 5425">
          <a:hlinkClick xmlns:r="http://schemas.openxmlformats.org/officeDocument/2006/relationships" r:id="rId3"/>
          <a:extLst>
            <a:ext uri="{FF2B5EF4-FFF2-40B4-BE49-F238E27FC236}">
              <a16:creationId xmlns:a16="http://schemas.microsoft.com/office/drawing/2014/main" id="{00000000-0008-0000-0E00-000031F50600}"/>
            </a:ext>
          </a:extLst>
        </xdr:cNvPr>
        <xdr:cNvSpPr txBox="1">
          <a:spLocks noChangeArrowheads="1"/>
        </xdr:cNvSpPr>
      </xdr:nvSpPr>
      <xdr:spPr bwMode="auto">
        <a:xfrm>
          <a:off x="0" y="18923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&lt; zurück</a:t>
          </a:r>
        </a:p>
      </xdr:txBody>
    </xdr:sp>
    <xdr:clientData fPrintsWithSheet="0"/>
  </xdr:twoCellAnchor>
  <xdr:twoCellAnchor>
    <xdr:from>
      <xdr:col>1</xdr:col>
      <xdr:colOff>12700</xdr:colOff>
      <xdr:row>24</xdr:row>
      <xdr:rowOff>0</xdr:rowOff>
    </xdr:from>
    <xdr:to>
      <xdr:col>2</xdr:col>
      <xdr:colOff>12700</xdr:colOff>
      <xdr:row>24</xdr:row>
      <xdr:rowOff>0</xdr:rowOff>
    </xdr:to>
    <xdr:sp macro="" textlink="">
      <xdr:nvSpPr>
        <xdr:cNvPr id="2599982" name="Line 330">
          <a:extLst>
            <a:ext uri="{FF2B5EF4-FFF2-40B4-BE49-F238E27FC236}">
              <a16:creationId xmlns:a16="http://schemas.microsoft.com/office/drawing/2014/main" id="{00000000-0008-0000-0E00-00002EA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99983" name="Line 135">
          <a:extLst>
            <a:ext uri="{FF2B5EF4-FFF2-40B4-BE49-F238E27FC236}">
              <a16:creationId xmlns:a16="http://schemas.microsoft.com/office/drawing/2014/main" id="{00000000-0008-0000-0E00-00002FA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99984" name="Line 612">
          <a:extLst>
            <a:ext uri="{FF2B5EF4-FFF2-40B4-BE49-F238E27FC236}">
              <a16:creationId xmlns:a16="http://schemas.microsoft.com/office/drawing/2014/main" id="{00000000-0008-0000-0E00-000030A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12700</xdr:colOff>
      <xdr:row>24</xdr:row>
      <xdr:rowOff>0</xdr:rowOff>
    </xdr:from>
    <xdr:to>
      <xdr:col>2</xdr:col>
      <xdr:colOff>12700</xdr:colOff>
      <xdr:row>24</xdr:row>
      <xdr:rowOff>0</xdr:rowOff>
    </xdr:to>
    <xdr:sp macro="" textlink="">
      <xdr:nvSpPr>
        <xdr:cNvPr id="2541112" name="Line 135">
          <a:extLst>
            <a:ext uri="{FF2B5EF4-FFF2-40B4-BE49-F238E27FC236}">
              <a16:creationId xmlns:a16="http://schemas.microsoft.com/office/drawing/2014/main" id="{00000000-0008-0000-0F00-000038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1113" name="Line 330">
          <a:extLst>
            <a:ext uri="{FF2B5EF4-FFF2-40B4-BE49-F238E27FC236}">
              <a16:creationId xmlns:a16="http://schemas.microsoft.com/office/drawing/2014/main" id="{00000000-0008-0000-0F00-000039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1114" name="Line 135">
          <a:extLst>
            <a:ext uri="{FF2B5EF4-FFF2-40B4-BE49-F238E27FC236}">
              <a16:creationId xmlns:a16="http://schemas.microsoft.com/office/drawing/2014/main" id="{00000000-0008-0000-0F00-00003A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1115" name="Line 330">
          <a:extLst>
            <a:ext uri="{FF2B5EF4-FFF2-40B4-BE49-F238E27FC236}">
              <a16:creationId xmlns:a16="http://schemas.microsoft.com/office/drawing/2014/main" id="{00000000-0008-0000-0F00-00003B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1116" name="Line 330">
          <a:extLst>
            <a:ext uri="{FF2B5EF4-FFF2-40B4-BE49-F238E27FC236}">
              <a16:creationId xmlns:a16="http://schemas.microsoft.com/office/drawing/2014/main" id="{00000000-0008-0000-0F00-00003C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41117" name="Line 4">
          <a:extLst>
            <a:ext uri="{FF2B5EF4-FFF2-40B4-BE49-F238E27FC236}">
              <a16:creationId xmlns:a16="http://schemas.microsoft.com/office/drawing/2014/main" id="{00000000-0008-0000-0F00-00003DC62600}"/>
            </a:ext>
          </a:extLst>
        </xdr:cNvPr>
        <xdr:cNvSpPr>
          <a:spLocks noChangeShapeType="1"/>
        </xdr:cNvSpPr>
      </xdr:nvSpPr>
      <xdr:spPr bwMode="auto">
        <a:xfrm>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41118" name="Line 5">
          <a:extLst>
            <a:ext uri="{FF2B5EF4-FFF2-40B4-BE49-F238E27FC236}">
              <a16:creationId xmlns:a16="http://schemas.microsoft.com/office/drawing/2014/main" id="{00000000-0008-0000-0F00-00003EC62600}"/>
            </a:ext>
          </a:extLst>
        </xdr:cNvPr>
        <xdr:cNvSpPr>
          <a:spLocks noChangeShapeType="1"/>
        </xdr:cNvSpPr>
      </xdr:nvSpPr>
      <xdr:spPr bwMode="auto">
        <a:xfrm flipV="1">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41119" name="Line 8">
          <a:extLst>
            <a:ext uri="{FF2B5EF4-FFF2-40B4-BE49-F238E27FC236}">
              <a16:creationId xmlns:a16="http://schemas.microsoft.com/office/drawing/2014/main" id="{00000000-0008-0000-0F00-00003FC6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41120" name="Line 9">
          <a:extLst>
            <a:ext uri="{FF2B5EF4-FFF2-40B4-BE49-F238E27FC236}">
              <a16:creationId xmlns:a16="http://schemas.microsoft.com/office/drawing/2014/main" id="{00000000-0008-0000-0F00-000040C6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41121" name="Line 10">
          <a:extLst>
            <a:ext uri="{FF2B5EF4-FFF2-40B4-BE49-F238E27FC236}">
              <a16:creationId xmlns:a16="http://schemas.microsoft.com/office/drawing/2014/main" id="{00000000-0008-0000-0F00-000041C6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41122" name="Line 11">
          <a:extLst>
            <a:ext uri="{FF2B5EF4-FFF2-40B4-BE49-F238E27FC236}">
              <a16:creationId xmlns:a16="http://schemas.microsoft.com/office/drawing/2014/main" id="{00000000-0008-0000-0F00-000042C6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41123" name="Line 20">
          <a:extLst>
            <a:ext uri="{FF2B5EF4-FFF2-40B4-BE49-F238E27FC236}">
              <a16:creationId xmlns:a16="http://schemas.microsoft.com/office/drawing/2014/main" id="{00000000-0008-0000-0F00-000043C6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41124" name="Line 21">
          <a:extLst>
            <a:ext uri="{FF2B5EF4-FFF2-40B4-BE49-F238E27FC236}">
              <a16:creationId xmlns:a16="http://schemas.microsoft.com/office/drawing/2014/main" id="{00000000-0008-0000-0F00-000044C6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41125" name="Line 22">
          <a:extLst>
            <a:ext uri="{FF2B5EF4-FFF2-40B4-BE49-F238E27FC236}">
              <a16:creationId xmlns:a16="http://schemas.microsoft.com/office/drawing/2014/main" id="{00000000-0008-0000-0F00-000045C6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41126" name="Line 23">
          <a:extLst>
            <a:ext uri="{FF2B5EF4-FFF2-40B4-BE49-F238E27FC236}">
              <a16:creationId xmlns:a16="http://schemas.microsoft.com/office/drawing/2014/main" id="{00000000-0008-0000-0F00-000046C6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41127" name="Line 26">
          <a:extLst>
            <a:ext uri="{FF2B5EF4-FFF2-40B4-BE49-F238E27FC236}">
              <a16:creationId xmlns:a16="http://schemas.microsoft.com/office/drawing/2014/main" id="{00000000-0008-0000-0F00-000047C6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41128" name="Line 27">
          <a:extLst>
            <a:ext uri="{FF2B5EF4-FFF2-40B4-BE49-F238E27FC236}">
              <a16:creationId xmlns:a16="http://schemas.microsoft.com/office/drawing/2014/main" id="{00000000-0008-0000-0F00-000048C6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41129" name="Line 28">
          <a:extLst>
            <a:ext uri="{FF2B5EF4-FFF2-40B4-BE49-F238E27FC236}">
              <a16:creationId xmlns:a16="http://schemas.microsoft.com/office/drawing/2014/main" id="{00000000-0008-0000-0F00-000049C626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41130" name="Line 29">
          <a:extLst>
            <a:ext uri="{FF2B5EF4-FFF2-40B4-BE49-F238E27FC236}">
              <a16:creationId xmlns:a16="http://schemas.microsoft.com/office/drawing/2014/main" id="{00000000-0008-0000-0F00-00004AC62600}"/>
            </a:ext>
          </a:extLst>
        </xdr:cNvPr>
        <xdr:cNvSpPr>
          <a:spLocks noChangeShapeType="1"/>
        </xdr:cNvSpPr>
      </xdr:nvSpPr>
      <xdr:spPr bwMode="auto">
        <a:xfrm>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41131" name="Line 30">
          <a:extLst>
            <a:ext uri="{FF2B5EF4-FFF2-40B4-BE49-F238E27FC236}">
              <a16:creationId xmlns:a16="http://schemas.microsoft.com/office/drawing/2014/main" id="{00000000-0008-0000-0F00-00004BC62600}"/>
            </a:ext>
          </a:extLst>
        </xdr:cNvPr>
        <xdr:cNvSpPr>
          <a:spLocks noChangeShapeType="1"/>
        </xdr:cNvSpPr>
      </xdr:nvSpPr>
      <xdr:spPr bwMode="auto">
        <a:xfrm flipV="1">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41132" name="Line 31">
          <a:extLst>
            <a:ext uri="{FF2B5EF4-FFF2-40B4-BE49-F238E27FC236}">
              <a16:creationId xmlns:a16="http://schemas.microsoft.com/office/drawing/2014/main" id="{00000000-0008-0000-0F00-00004CC62600}"/>
            </a:ext>
          </a:extLst>
        </xdr:cNvPr>
        <xdr:cNvSpPr>
          <a:spLocks noChangeShapeType="1"/>
        </xdr:cNvSpPr>
      </xdr:nvSpPr>
      <xdr:spPr bwMode="auto">
        <a:xfrm>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41133" name="Line 32">
          <a:extLst>
            <a:ext uri="{FF2B5EF4-FFF2-40B4-BE49-F238E27FC236}">
              <a16:creationId xmlns:a16="http://schemas.microsoft.com/office/drawing/2014/main" id="{00000000-0008-0000-0F00-00004DC6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41134" name="Line 33">
          <a:extLst>
            <a:ext uri="{FF2B5EF4-FFF2-40B4-BE49-F238E27FC236}">
              <a16:creationId xmlns:a16="http://schemas.microsoft.com/office/drawing/2014/main" id="{00000000-0008-0000-0F00-00004EC6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41135" name="Line 34">
          <a:extLst>
            <a:ext uri="{FF2B5EF4-FFF2-40B4-BE49-F238E27FC236}">
              <a16:creationId xmlns:a16="http://schemas.microsoft.com/office/drawing/2014/main" id="{00000000-0008-0000-0F00-00004FC6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41136" name="Line 35">
          <a:extLst>
            <a:ext uri="{FF2B5EF4-FFF2-40B4-BE49-F238E27FC236}">
              <a16:creationId xmlns:a16="http://schemas.microsoft.com/office/drawing/2014/main" id="{00000000-0008-0000-0F00-000050C6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27</xdr:row>
      <xdr:rowOff>0</xdr:rowOff>
    </xdr:to>
    <xdr:sp macro="" textlink="">
      <xdr:nvSpPr>
        <xdr:cNvPr id="2541137" name="Line 36">
          <a:extLst>
            <a:ext uri="{FF2B5EF4-FFF2-40B4-BE49-F238E27FC236}">
              <a16:creationId xmlns:a16="http://schemas.microsoft.com/office/drawing/2014/main" id="{00000000-0008-0000-0F00-000051C626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41138" name="Line 38">
          <a:extLst>
            <a:ext uri="{FF2B5EF4-FFF2-40B4-BE49-F238E27FC236}">
              <a16:creationId xmlns:a16="http://schemas.microsoft.com/office/drawing/2014/main" id="{00000000-0008-0000-0F00-000052C62600}"/>
            </a:ext>
          </a:extLst>
        </xdr:cNvPr>
        <xdr:cNvSpPr>
          <a:spLocks noChangeShapeType="1"/>
        </xdr:cNvSpPr>
      </xdr:nvSpPr>
      <xdr:spPr bwMode="auto">
        <a:xfrm flipV="1">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41139" name="Line 39">
          <a:extLst>
            <a:ext uri="{FF2B5EF4-FFF2-40B4-BE49-F238E27FC236}">
              <a16:creationId xmlns:a16="http://schemas.microsoft.com/office/drawing/2014/main" id="{00000000-0008-0000-0F00-000053C62600}"/>
            </a:ext>
          </a:extLst>
        </xdr:cNvPr>
        <xdr:cNvSpPr>
          <a:spLocks noChangeShapeType="1"/>
        </xdr:cNvSpPr>
      </xdr:nvSpPr>
      <xdr:spPr bwMode="auto">
        <a:xfrm>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41140" name="Line 40">
          <a:extLst>
            <a:ext uri="{FF2B5EF4-FFF2-40B4-BE49-F238E27FC236}">
              <a16:creationId xmlns:a16="http://schemas.microsoft.com/office/drawing/2014/main" id="{00000000-0008-0000-0F00-000054C62600}"/>
            </a:ext>
          </a:extLst>
        </xdr:cNvPr>
        <xdr:cNvSpPr>
          <a:spLocks noChangeShapeType="1"/>
        </xdr:cNvSpPr>
      </xdr:nvSpPr>
      <xdr:spPr bwMode="auto">
        <a:xfrm flipV="1">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41141" name="Line 41">
          <a:extLst>
            <a:ext uri="{FF2B5EF4-FFF2-40B4-BE49-F238E27FC236}">
              <a16:creationId xmlns:a16="http://schemas.microsoft.com/office/drawing/2014/main" id="{00000000-0008-0000-0F00-000055C626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41142" name="Line 42">
          <a:extLst>
            <a:ext uri="{FF2B5EF4-FFF2-40B4-BE49-F238E27FC236}">
              <a16:creationId xmlns:a16="http://schemas.microsoft.com/office/drawing/2014/main" id="{00000000-0008-0000-0F00-000056C62600}"/>
            </a:ext>
          </a:extLst>
        </xdr:cNvPr>
        <xdr:cNvSpPr>
          <a:spLocks noChangeShapeType="1"/>
        </xdr:cNvSpPr>
      </xdr:nvSpPr>
      <xdr:spPr bwMode="auto">
        <a:xfrm flipV="1">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41143" name="Line 43">
          <a:extLst>
            <a:ext uri="{FF2B5EF4-FFF2-40B4-BE49-F238E27FC236}">
              <a16:creationId xmlns:a16="http://schemas.microsoft.com/office/drawing/2014/main" id="{00000000-0008-0000-0F00-000057C62600}"/>
            </a:ext>
          </a:extLst>
        </xdr:cNvPr>
        <xdr:cNvSpPr>
          <a:spLocks noChangeShapeType="1"/>
        </xdr:cNvSpPr>
      </xdr:nvSpPr>
      <xdr:spPr bwMode="auto">
        <a:xfrm>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41144" name="Line 44">
          <a:extLst>
            <a:ext uri="{FF2B5EF4-FFF2-40B4-BE49-F238E27FC236}">
              <a16:creationId xmlns:a16="http://schemas.microsoft.com/office/drawing/2014/main" id="{00000000-0008-0000-0F00-000058C62600}"/>
            </a:ext>
          </a:extLst>
        </xdr:cNvPr>
        <xdr:cNvSpPr>
          <a:spLocks noChangeShapeType="1"/>
        </xdr:cNvSpPr>
      </xdr:nvSpPr>
      <xdr:spPr bwMode="auto">
        <a:xfrm flipV="1">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41145" name="Line 45">
          <a:extLst>
            <a:ext uri="{FF2B5EF4-FFF2-40B4-BE49-F238E27FC236}">
              <a16:creationId xmlns:a16="http://schemas.microsoft.com/office/drawing/2014/main" id="{00000000-0008-0000-0F00-000059C62600}"/>
            </a:ext>
          </a:extLst>
        </xdr:cNvPr>
        <xdr:cNvSpPr>
          <a:spLocks noChangeShapeType="1"/>
        </xdr:cNvSpPr>
      </xdr:nvSpPr>
      <xdr:spPr bwMode="auto">
        <a:xfrm>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41146" name="Line 46">
          <a:extLst>
            <a:ext uri="{FF2B5EF4-FFF2-40B4-BE49-F238E27FC236}">
              <a16:creationId xmlns:a16="http://schemas.microsoft.com/office/drawing/2014/main" id="{00000000-0008-0000-0F00-00005AC6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41147" name="Line 47">
          <a:extLst>
            <a:ext uri="{FF2B5EF4-FFF2-40B4-BE49-F238E27FC236}">
              <a16:creationId xmlns:a16="http://schemas.microsoft.com/office/drawing/2014/main" id="{00000000-0008-0000-0F00-00005BC6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41148" name="Line 49">
          <a:extLst>
            <a:ext uri="{FF2B5EF4-FFF2-40B4-BE49-F238E27FC236}">
              <a16:creationId xmlns:a16="http://schemas.microsoft.com/office/drawing/2014/main" id="{00000000-0008-0000-0F00-00005CC6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41149" name="Line 50">
          <a:extLst>
            <a:ext uri="{FF2B5EF4-FFF2-40B4-BE49-F238E27FC236}">
              <a16:creationId xmlns:a16="http://schemas.microsoft.com/office/drawing/2014/main" id="{00000000-0008-0000-0F00-00005DC6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41150" name="Line 51">
          <a:extLst>
            <a:ext uri="{FF2B5EF4-FFF2-40B4-BE49-F238E27FC236}">
              <a16:creationId xmlns:a16="http://schemas.microsoft.com/office/drawing/2014/main" id="{00000000-0008-0000-0F00-00005EC6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41151" name="Line 52">
          <a:extLst>
            <a:ext uri="{FF2B5EF4-FFF2-40B4-BE49-F238E27FC236}">
              <a16:creationId xmlns:a16="http://schemas.microsoft.com/office/drawing/2014/main" id="{00000000-0008-0000-0F00-00005FC6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41152" name="Line 53">
          <a:extLst>
            <a:ext uri="{FF2B5EF4-FFF2-40B4-BE49-F238E27FC236}">
              <a16:creationId xmlns:a16="http://schemas.microsoft.com/office/drawing/2014/main" id="{00000000-0008-0000-0F00-000060C62600}"/>
            </a:ext>
          </a:extLst>
        </xdr:cNvPr>
        <xdr:cNvSpPr>
          <a:spLocks noChangeShapeType="1"/>
        </xdr:cNvSpPr>
      </xdr:nvSpPr>
      <xdr:spPr bwMode="auto">
        <a:xfrm flipV="1">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41153" name="Line 54">
          <a:extLst>
            <a:ext uri="{FF2B5EF4-FFF2-40B4-BE49-F238E27FC236}">
              <a16:creationId xmlns:a16="http://schemas.microsoft.com/office/drawing/2014/main" id="{00000000-0008-0000-0F00-000061C62600}"/>
            </a:ext>
          </a:extLst>
        </xdr:cNvPr>
        <xdr:cNvSpPr>
          <a:spLocks noChangeShapeType="1"/>
        </xdr:cNvSpPr>
      </xdr:nvSpPr>
      <xdr:spPr bwMode="auto">
        <a:xfrm>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41154" name="Line 58">
          <a:extLst>
            <a:ext uri="{FF2B5EF4-FFF2-40B4-BE49-F238E27FC236}">
              <a16:creationId xmlns:a16="http://schemas.microsoft.com/office/drawing/2014/main" id="{00000000-0008-0000-0F00-000062C6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41155" name="Line 59">
          <a:extLst>
            <a:ext uri="{FF2B5EF4-FFF2-40B4-BE49-F238E27FC236}">
              <a16:creationId xmlns:a16="http://schemas.microsoft.com/office/drawing/2014/main" id="{00000000-0008-0000-0F00-000063C6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41156" name="Line 129">
          <a:extLst>
            <a:ext uri="{FF2B5EF4-FFF2-40B4-BE49-F238E27FC236}">
              <a16:creationId xmlns:a16="http://schemas.microsoft.com/office/drawing/2014/main" id="{00000000-0008-0000-0F00-000064C62600}"/>
            </a:ext>
          </a:extLst>
        </xdr:cNvPr>
        <xdr:cNvSpPr>
          <a:spLocks noChangeShapeType="1"/>
        </xdr:cNvSpPr>
      </xdr:nvSpPr>
      <xdr:spPr bwMode="auto">
        <a:xfrm flipV="1">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41157" name="Line 130">
          <a:extLst>
            <a:ext uri="{FF2B5EF4-FFF2-40B4-BE49-F238E27FC236}">
              <a16:creationId xmlns:a16="http://schemas.microsoft.com/office/drawing/2014/main" id="{00000000-0008-0000-0F00-000065C62600}"/>
            </a:ext>
          </a:extLst>
        </xdr:cNvPr>
        <xdr:cNvSpPr>
          <a:spLocks noChangeShapeType="1"/>
        </xdr:cNvSpPr>
      </xdr:nvSpPr>
      <xdr:spPr bwMode="auto">
        <a:xfrm>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41158" name="Line 131">
          <a:extLst>
            <a:ext uri="{FF2B5EF4-FFF2-40B4-BE49-F238E27FC236}">
              <a16:creationId xmlns:a16="http://schemas.microsoft.com/office/drawing/2014/main" id="{00000000-0008-0000-0F00-000066C626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41159" name="Line 132">
          <a:extLst>
            <a:ext uri="{FF2B5EF4-FFF2-40B4-BE49-F238E27FC236}">
              <a16:creationId xmlns:a16="http://schemas.microsoft.com/office/drawing/2014/main" id="{00000000-0008-0000-0F00-000067C626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41160" name="Line 133">
          <a:extLst>
            <a:ext uri="{FF2B5EF4-FFF2-40B4-BE49-F238E27FC236}">
              <a16:creationId xmlns:a16="http://schemas.microsoft.com/office/drawing/2014/main" id="{00000000-0008-0000-0F00-000068C626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41161" name="Line 134">
          <a:extLst>
            <a:ext uri="{FF2B5EF4-FFF2-40B4-BE49-F238E27FC236}">
              <a16:creationId xmlns:a16="http://schemas.microsoft.com/office/drawing/2014/main" id="{00000000-0008-0000-0F00-000069C626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1162" name="Line 135">
          <a:extLst>
            <a:ext uri="{FF2B5EF4-FFF2-40B4-BE49-F238E27FC236}">
              <a16:creationId xmlns:a16="http://schemas.microsoft.com/office/drawing/2014/main" id="{00000000-0008-0000-0F00-00006A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24</xdr:row>
      <xdr:rowOff>0</xdr:rowOff>
    </xdr:to>
    <xdr:sp macro="" textlink="">
      <xdr:nvSpPr>
        <xdr:cNvPr id="2541163" name="Line 136">
          <a:extLst>
            <a:ext uri="{FF2B5EF4-FFF2-40B4-BE49-F238E27FC236}">
              <a16:creationId xmlns:a16="http://schemas.microsoft.com/office/drawing/2014/main" id="{00000000-0008-0000-0F00-00006BC626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41164" name="Line 141">
          <a:extLst>
            <a:ext uri="{FF2B5EF4-FFF2-40B4-BE49-F238E27FC236}">
              <a16:creationId xmlns:a16="http://schemas.microsoft.com/office/drawing/2014/main" id="{00000000-0008-0000-0F00-00006CC62600}"/>
            </a:ext>
          </a:extLst>
        </xdr:cNvPr>
        <xdr:cNvSpPr>
          <a:spLocks noChangeShapeType="1"/>
        </xdr:cNvSpPr>
      </xdr:nvSpPr>
      <xdr:spPr bwMode="auto">
        <a:xfrm flipV="1">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41165" name="Line 142">
          <a:extLst>
            <a:ext uri="{FF2B5EF4-FFF2-40B4-BE49-F238E27FC236}">
              <a16:creationId xmlns:a16="http://schemas.microsoft.com/office/drawing/2014/main" id="{00000000-0008-0000-0F00-00006DC62600}"/>
            </a:ext>
          </a:extLst>
        </xdr:cNvPr>
        <xdr:cNvSpPr>
          <a:spLocks noChangeShapeType="1"/>
        </xdr:cNvSpPr>
      </xdr:nvSpPr>
      <xdr:spPr bwMode="auto">
        <a:xfrm>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1166" name="Line 612">
          <a:extLst>
            <a:ext uri="{FF2B5EF4-FFF2-40B4-BE49-F238E27FC236}">
              <a16:creationId xmlns:a16="http://schemas.microsoft.com/office/drawing/2014/main" id="{00000000-0008-0000-0F00-00006E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0</xdr:col>
      <xdr:colOff>0</xdr:colOff>
      <xdr:row>6</xdr:row>
      <xdr:rowOff>0</xdr:rowOff>
    </xdr:from>
    <xdr:to>
      <xdr:col>3</xdr:col>
      <xdr:colOff>0</xdr:colOff>
      <xdr:row>7</xdr:row>
      <xdr:rowOff>0</xdr:rowOff>
    </xdr:to>
    <xdr:sp macro="" textlink="">
      <xdr:nvSpPr>
        <xdr:cNvPr id="431661" name="Text Box 5677">
          <a:hlinkClick xmlns:r="http://schemas.openxmlformats.org/officeDocument/2006/relationships" r:id="rId1"/>
          <a:extLst>
            <a:ext uri="{FF2B5EF4-FFF2-40B4-BE49-F238E27FC236}">
              <a16:creationId xmlns:a16="http://schemas.microsoft.com/office/drawing/2014/main" id="{00000000-0008-0000-0F00-00002D960600}"/>
            </a:ext>
          </a:extLst>
        </xdr:cNvPr>
        <xdr:cNvSpPr txBox="1">
          <a:spLocks noChangeArrowheads="1"/>
        </xdr:cNvSpPr>
      </xdr:nvSpPr>
      <xdr:spPr bwMode="auto">
        <a:xfrm>
          <a:off x="0" y="774700"/>
          <a:ext cx="1714500" cy="2794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zur Startseite</a:t>
          </a:r>
        </a:p>
      </xdr:txBody>
    </xdr:sp>
    <xdr:clientData fPrintsWithSheet="0"/>
  </xdr:twoCellAnchor>
  <xdr:twoCellAnchor>
    <xdr:from>
      <xdr:col>0</xdr:col>
      <xdr:colOff>0</xdr:colOff>
      <xdr:row>8</xdr:row>
      <xdr:rowOff>0</xdr:rowOff>
    </xdr:from>
    <xdr:to>
      <xdr:col>3</xdr:col>
      <xdr:colOff>0</xdr:colOff>
      <xdr:row>9</xdr:row>
      <xdr:rowOff>0</xdr:rowOff>
    </xdr:to>
    <xdr:sp macro="" textlink="">
      <xdr:nvSpPr>
        <xdr:cNvPr id="431662" name="Text Box 5678">
          <a:hlinkClick xmlns:r="http://schemas.openxmlformats.org/officeDocument/2006/relationships" r:id="rId2"/>
          <a:extLst>
            <a:ext uri="{FF2B5EF4-FFF2-40B4-BE49-F238E27FC236}">
              <a16:creationId xmlns:a16="http://schemas.microsoft.com/office/drawing/2014/main" id="{00000000-0008-0000-0F00-00002E960600}"/>
            </a:ext>
          </a:extLst>
        </xdr:cNvPr>
        <xdr:cNvSpPr txBox="1">
          <a:spLocks noChangeArrowheads="1"/>
        </xdr:cNvSpPr>
      </xdr:nvSpPr>
      <xdr:spPr bwMode="auto">
        <a:xfrm>
          <a:off x="0" y="13335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 weiter &gt;</a:t>
          </a:r>
        </a:p>
      </xdr:txBody>
    </xdr:sp>
    <xdr:clientData fPrintsWithSheet="0"/>
  </xdr:twoCellAnchor>
  <xdr:twoCellAnchor>
    <xdr:from>
      <xdr:col>0</xdr:col>
      <xdr:colOff>0</xdr:colOff>
      <xdr:row>10</xdr:row>
      <xdr:rowOff>0</xdr:rowOff>
    </xdr:from>
    <xdr:to>
      <xdr:col>3</xdr:col>
      <xdr:colOff>0</xdr:colOff>
      <xdr:row>11</xdr:row>
      <xdr:rowOff>0</xdr:rowOff>
    </xdr:to>
    <xdr:sp macro="" textlink="">
      <xdr:nvSpPr>
        <xdr:cNvPr id="431663" name="Text Box 5679">
          <a:hlinkClick xmlns:r="http://schemas.openxmlformats.org/officeDocument/2006/relationships" r:id="rId3"/>
          <a:extLst>
            <a:ext uri="{FF2B5EF4-FFF2-40B4-BE49-F238E27FC236}">
              <a16:creationId xmlns:a16="http://schemas.microsoft.com/office/drawing/2014/main" id="{00000000-0008-0000-0F00-00002F960600}"/>
            </a:ext>
          </a:extLst>
        </xdr:cNvPr>
        <xdr:cNvSpPr txBox="1">
          <a:spLocks noChangeArrowheads="1"/>
        </xdr:cNvSpPr>
      </xdr:nvSpPr>
      <xdr:spPr bwMode="auto">
        <a:xfrm>
          <a:off x="0" y="18923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&lt; zurück</a:t>
          </a:r>
        </a:p>
      </xdr:txBody>
    </xdr:sp>
    <xdr:clientData fPrintsWithSheet="0"/>
  </xdr:twoCellAnchor>
  <xdr:twoCellAnchor>
    <xdr:from>
      <xdr:col>1</xdr:col>
      <xdr:colOff>12700</xdr:colOff>
      <xdr:row>24</xdr:row>
      <xdr:rowOff>0</xdr:rowOff>
    </xdr:from>
    <xdr:to>
      <xdr:col>2</xdr:col>
      <xdr:colOff>12700</xdr:colOff>
      <xdr:row>24</xdr:row>
      <xdr:rowOff>0</xdr:rowOff>
    </xdr:to>
    <xdr:sp macro="" textlink="">
      <xdr:nvSpPr>
        <xdr:cNvPr id="2541170" name="Line 135">
          <a:extLst>
            <a:ext uri="{FF2B5EF4-FFF2-40B4-BE49-F238E27FC236}">
              <a16:creationId xmlns:a16="http://schemas.microsoft.com/office/drawing/2014/main" id="{00000000-0008-0000-0F00-000072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1171" name="Line 330">
          <a:extLst>
            <a:ext uri="{FF2B5EF4-FFF2-40B4-BE49-F238E27FC236}">
              <a16:creationId xmlns:a16="http://schemas.microsoft.com/office/drawing/2014/main" id="{00000000-0008-0000-0F00-000073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1172" name="Line 330">
          <a:extLst>
            <a:ext uri="{FF2B5EF4-FFF2-40B4-BE49-F238E27FC236}">
              <a16:creationId xmlns:a16="http://schemas.microsoft.com/office/drawing/2014/main" id="{00000000-0008-0000-0F00-000074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1173" name="Line 135">
          <a:extLst>
            <a:ext uri="{FF2B5EF4-FFF2-40B4-BE49-F238E27FC236}">
              <a16:creationId xmlns:a16="http://schemas.microsoft.com/office/drawing/2014/main" id="{00000000-0008-0000-0F00-000075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1174" name="Line 612">
          <a:extLst>
            <a:ext uri="{FF2B5EF4-FFF2-40B4-BE49-F238E27FC236}">
              <a16:creationId xmlns:a16="http://schemas.microsoft.com/office/drawing/2014/main" id="{00000000-0008-0000-0F00-000076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1175" name="Line 330">
          <a:extLst>
            <a:ext uri="{FF2B5EF4-FFF2-40B4-BE49-F238E27FC236}">
              <a16:creationId xmlns:a16="http://schemas.microsoft.com/office/drawing/2014/main" id="{00000000-0008-0000-0F00-000077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1176" name="Line 135">
          <a:extLst>
            <a:ext uri="{FF2B5EF4-FFF2-40B4-BE49-F238E27FC236}">
              <a16:creationId xmlns:a16="http://schemas.microsoft.com/office/drawing/2014/main" id="{00000000-0008-0000-0F00-000078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1177" name="Line 612">
          <a:extLst>
            <a:ext uri="{FF2B5EF4-FFF2-40B4-BE49-F238E27FC236}">
              <a16:creationId xmlns:a16="http://schemas.microsoft.com/office/drawing/2014/main" id="{00000000-0008-0000-0F00-000079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12700</xdr:colOff>
      <xdr:row>24</xdr:row>
      <xdr:rowOff>0</xdr:rowOff>
    </xdr:from>
    <xdr:to>
      <xdr:col>2</xdr:col>
      <xdr:colOff>12700</xdr:colOff>
      <xdr:row>24</xdr:row>
      <xdr:rowOff>0</xdr:rowOff>
    </xdr:to>
    <xdr:sp macro="" textlink="">
      <xdr:nvSpPr>
        <xdr:cNvPr id="2586702" name="Line 135">
          <a:extLst>
            <a:ext uri="{FF2B5EF4-FFF2-40B4-BE49-F238E27FC236}">
              <a16:creationId xmlns:a16="http://schemas.microsoft.com/office/drawing/2014/main" id="{00000000-0008-0000-1000-00004E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03" name="Line 331">
          <a:extLst>
            <a:ext uri="{FF2B5EF4-FFF2-40B4-BE49-F238E27FC236}">
              <a16:creationId xmlns:a16="http://schemas.microsoft.com/office/drawing/2014/main" id="{00000000-0008-0000-1000-00004F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04" name="Line 135">
          <a:extLst>
            <a:ext uri="{FF2B5EF4-FFF2-40B4-BE49-F238E27FC236}">
              <a16:creationId xmlns:a16="http://schemas.microsoft.com/office/drawing/2014/main" id="{00000000-0008-0000-1000-000050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05" name="Line 330">
          <a:extLst>
            <a:ext uri="{FF2B5EF4-FFF2-40B4-BE49-F238E27FC236}">
              <a16:creationId xmlns:a16="http://schemas.microsoft.com/office/drawing/2014/main" id="{00000000-0008-0000-1000-000051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06" name="Line 330">
          <a:extLst>
            <a:ext uri="{FF2B5EF4-FFF2-40B4-BE49-F238E27FC236}">
              <a16:creationId xmlns:a16="http://schemas.microsoft.com/office/drawing/2014/main" id="{00000000-0008-0000-1000-000052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86707" name="Line 4">
          <a:extLst>
            <a:ext uri="{FF2B5EF4-FFF2-40B4-BE49-F238E27FC236}">
              <a16:creationId xmlns:a16="http://schemas.microsoft.com/office/drawing/2014/main" id="{00000000-0008-0000-1000-000053782700}"/>
            </a:ext>
          </a:extLst>
        </xdr:cNvPr>
        <xdr:cNvSpPr>
          <a:spLocks noChangeShapeType="1"/>
        </xdr:cNvSpPr>
      </xdr:nvSpPr>
      <xdr:spPr bwMode="auto">
        <a:xfrm>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86708" name="Line 5">
          <a:extLst>
            <a:ext uri="{FF2B5EF4-FFF2-40B4-BE49-F238E27FC236}">
              <a16:creationId xmlns:a16="http://schemas.microsoft.com/office/drawing/2014/main" id="{00000000-0008-0000-1000-000054782700}"/>
            </a:ext>
          </a:extLst>
        </xdr:cNvPr>
        <xdr:cNvSpPr>
          <a:spLocks noChangeShapeType="1"/>
        </xdr:cNvSpPr>
      </xdr:nvSpPr>
      <xdr:spPr bwMode="auto">
        <a:xfrm flipV="1">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86709" name="Line 8">
          <a:extLst>
            <a:ext uri="{FF2B5EF4-FFF2-40B4-BE49-F238E27FC236}">
              <a16:creationId xmlns:a16="http://schemas.microsoft.com/office/drawing/2014/main" id="{00000000-0008-0000-1000-00005578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86710" name="Line 9">
          <a:extLst>
            <a:ext uri="{FF2B5EF4-FFF2-40B4-BE49-F238E27FC236}">
              <a16:creationId xmlns:a16="http://schemas.microsoft.com/office/drawing/2014/main" id="{00000000-0008-0000-1000-00005678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86711" name="Line 10">
          <a:extLst>
            <a:ext uri="{FF2B5EF4-FFF2-40B4-BE49-F238E27FC236}">
              <a16:creationId xmlns:a16="http://schemas.microsoft.com/office/drawing/2014/main" id="{00000000-0008-0000-1000-00005778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86712" name="Line 11">
          <a:extLst>
            <a:ext uri="{FF2B5EF4-FFF2-40B4-BE49-F238E27FC236}">
              <a16:creationId xmlns:a16="http://schemas.microsoft.com/office/drawing/2014/main" id="{00000000-0008-0000-1000-00005878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86713" name="Line 20">
          <a:extLst>
            <a:ext uri="{FF2B5EF4-FFF2-40B4-BE49-F238E27FC236}">
              <a16:creationId xmlns:a16="http://schemas.microsoft.com/office/drawing/2014/main" id="{00000000-0008-0000-1000-00005978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86714" name="Line 21">
          <a:extLst>
            <a:ext uri="{FF2B5EF4-FFF2-40B4-BE49-F238E27FC236}">
              <a16:creationId xmlns:a16="http://schemas.microsoft.com/office/drawing/2014/main" id="{00000000-0008-0000-1000-00005A78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86715" name="Line 22">
          <a:extLst>
            <a:ext uri="{FF2B5EF4-FFF2-40B4-BE49-F238E27FC236}">
              <a16:creationId xmlns:a16="http://schemas.microsoft.com/office/drawing/2014/main" id="{00000000-0008-0000-1000-00005B78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86716" name="Line 23">
          <a:extLst>
            <a:ext uri="{FF2B5EF4-FFF2-40B4-BE49-F238E27FC236}">
              <a16:creationId xmlns:a16="http://schemas.microsoft.com/office/drawing/2014/main" id="{00000000-0008-0000-1000-00005C78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86717" name="Line 26">
          <a:extLst>
            <a:ext uri="{FF2B5EF4-FFF2-40B4-BE49-F238E27FC236}">
              <a16:creationId xmlns:a16="http://schemas.microsoft.com/office/drawing/2014/main" id="{00000000-0008-0000-1000-00005D78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86718" name="Line 27">
          <a:extLst>
            <a:ext uri="{FF2B5EF4-FFF2-40B4-BE49-F238E27FC236}">
              <a16:creationId xmlns:a16="http://schemas.microsoft.com/office/drawing/2014/main" id="{00000000-0008-0000-1000-00005E78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86719" name="Line 28">
          <a:extLst>
            <a:ext uri="{FF2B5EF4-FFF2-40B4-BE49-F238E27FC236}">
              <a16:creationId xmlns:a16="http://schemas.microsoft.com/office/drawing/2014/main" id="{00000000-0008-0000-1000-00005F78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86720" name="Line 29">
          <a:extLst>
            <a:ext uri="{FF2B5EF4-FFF2-40B4-BE49-F238E27FC236}">
              <a16:creationId xmlns:a16="http://schemas.microsoft.com/office/drawing/2014/main" id="{00000000-0008-0000-1000-000060782700}"/>
            </a:ext>
          </a:extLst>
        </xdr:cNvPr>
        <xdr:cNvSpPr>
          <a:spLocks noChangeShapeType="1"/>
        </xdr:cNvSpPr>
      </xdr:nvSpPr>
      <xdr:spPr bwMode="auto">
        <a:xfrm>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86721" name="Line 30">
          <a:extLst>
            <a:ext uri="{FF2B5EF4-FFF2-40B4-BE49-F238E27FC236}">
              <a16:creationId xmlns:a16="http://schemas.microsoft.com/office/drawing/2014/main" id="{00000000-0008-0000-1000-000061782700}"/>
            </a:ext>
          </a:extLst>
        </xdr:cNvPr>
        <xdr:cNvSpPr>
          <a:spLocks noChangeShapeType="1"/>
        </xdr:cNvSpPr>
      </xdr:nvSpPr>
      <xdr:spPr bwMode="auto">
        <a:xfrm flipV="1">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86722" name="Line 31">
          <a:extLst>
            <a:ext uri="{FF2B5EF4-FFF2-40B4-BE49-F238E27FC236}">
              <a16:creationId xmlns:a16="http://schemas.microsoft.com/office/drawing/2014/main" id="{00000000-0008-0000-1000-000062782700}"/>
            </a:ext>
          </a:extLst>
        </xdr:cNvPr>
        <xdr:cNvSpPr>
          <a:spLocks noChangeShapeType="1"/>
        </xdr:cNvSpPr>
      </xdr:nvSpPr>
      <xdr:spPr bwMode="auto">
        <a:xfrm>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86723" name="Line 32">
          <a:extLst>
            <a:ext uri="{FF2B5EF4-FFF2-40B4-BE49-F238E27FC236}">
              <a16:creationId xmlns:a16="http://schemas.microsoft.com/office/drawing/2014/main" id="{00000000-0008-0000-1000-00006378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86724" name="Line 33">
          <a:extLst>
            <a:ext uri="{FF2B5EF4-FFF2-40B4-BE49-F238E27FC236}">
              <a16:creationId xmlns:a16="http://schemas.microsoft.com/office/drawing/2014/main" id="{00000000-0008-0000-1000-00006478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86725" name="Line 34">
          <a:extLst>
            <a:ext uri="{FF2B5EF4-FFF2-40B4-BE49-F238E27FC236}">
              <a16:creationId xmlns:a16="http://schemas.microsoft.com/office/drawing/2014/main" id="{00000000-0008-0000-1000-00006578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86726" name="Line 35">
          <a:extLst>
            <a:ext uri="{FF2B5EF4-FFF2-40B4-BE49-F238E27FC236}">
              <a16:creationId xmlns:a16="http://schemas.microsoft.com/office/drawing/2014/main" id="{00000000-0008-0000-1000-00006678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27</xdr:row>
      <xdr:rowOff>0</xdr:rowOff>
    </xdr:to>
    <xdr:sp macro="" textlink="">
      <xdr:nvSpPr>
        <xdr:cNvPr id="2586727" name="Line 36">
          <a:extLst>
            <a:ext uri="{FF2B5EF4-FFF2-40B4-BE49-F238E27FC236}">
              <a16:creationId xmlns:a16="http://schemas.microsoft.com/office/drawing/2014/main" id="{00000000-0008-0000-1000-00006778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86728" name="Line 38">
          <a:extLst>
            <a:ext uri="{FF2B5EF4-FFF2-40B4-BE49-F238E27FC236}">
              <a16:creationId xmlns:a16="http://schemas.microsoft.com/office/drawing/2014/main" id="{00000000-0008-0000-1000-000068782700}"/>
            </a:ext>
          </a:extLst>
        </xdr:cNvPr>
        <xdr:cNvSpPr>
          <a:spLocks noChangeShapeType="1"/>
        </xdr:cNvSpPr>
      </xdr:nvSpPr>
      <xdr:spPr bwMode="auto">
        <a:xfrm flipV="1">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86729" name="Line 39">
          <a:extLst>
            <a:ext uri="{FF2B5EF4-FFF2-40B4-BE49-F238E27FC236}">
              <a16:creationId xmlns:a16="http://schemas.microsoft.com/office/drawing/2014/main" id="{00000000-0008-0000-1000-000069782700}"/>
            </a:ext>
          </a:extLst>
        </xdr:cNvPr>
        <xdr:cNvSpPr>
          <a:spLocks noChangeShapeType="1"/>
        </xdr:cNvSpPr>
      </xdr:nvSpPr>
      <xdr:spPr bwMode="auto">
        <a:xfrm>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86730" name="Line 40">
          <a:extLst>
            <a:ext uri="{FF2B5EF4-FFF2-40B4-BE49-F238E27FC236}">
              <a16:creationId xmlns:a16="http://schemas.microsoft.com/office/drawing/2014/main" id="{00000000-0008-0000-1000-00006A782700}"/>
            </a:ext>
          </a:extLst>
        </xdr:cNvPr>
        <xdr:cNvSpPr>
          <a:spLocks noChangeShapeType="1"/>
        </xdr:cNvSpPr>
      </xdr:nvSpPr>
      <xdr:spPr bwMode="auto">
        <a:xfrm flipV="1">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86731" name="Line 41">
          <a:extLst>
            <a:ext uri="{FF2B5EF4-FFF2-40B4-BE49-F238E27FC236}">
              <a16:creationId xmlns:a16="http://schemas.microsoft.com/office/drawing/2014/main" id="{00000000-0008-0000-1000-00006B78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86732" name="Line 42">
          <a:extLst>
            <a:ext uri="{FF2B5EF4-FFF2-40B4-BE49-F238E27FC236}">
              <a16:creationId xmlns:a16="http://schemas.microsoft.com/office/drawing/2014/main" id="{00000000-0008-0000-1000-00006C782700}"/>
            </a:ext>
          </a:extLst>
        </xdr:cNvPr>
        <xdr:cNvSpPr>
          <a:spLocks noChangeShapeType="1"/>
        </xdr:cNvSpPr>
      </xdr:nvSpPr>
      <xdr:spPr bwMode="auto">
        <a:xfrm flipV="1">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86733" name="Line 43">
          <a:extLst>
            <a:ext uri="{FF2B5EF4-FFF2-40B4-BE49-F238E27FC236}">
              <a16:creationId xmlns:a16="http://schemas.microsoft.com/office/drawing/2014/main" id="{00000000-0008-0000-1000-00006D782700}"/>
            </a:ext>
          </a:extLst>
        </xdr:cNvPr>
        <xdr:cNvSpPr>
          <a:spLocks noChangeShapeType="1"/>
        </xdr:cNvSpPr>
      </xdr:nvSpPr>
      <xdr:spPr bwMode="auto">
        <a:xfrm>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86734" name="Line 44">
          <a:extLst>
            <a:ext uri="{FF2B5EF4-FFF2-40B4-BE49-F238E27FC236}">
              <a16:creationId xmlns:a16="http://schemas.microsoft.com/office/drawing/2014/main" id="{00000000-0008-0000-1000-00006E782700}"/>
            </a:ext>
          </a:extLst>
        </xdr:cNvPr>
        <xdr:cNvSpPr>
          <a:spLocks noChangeShapeType="1"/>
        </xdr:cNvSpPr>
      </xdr:nvSpPr>
      <xdr:spPr bwMode="auto">
        <a:xfrm flipV="1">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86735" name="Line 45">
          <a:extLst>
            <a:ext uri="{FF2B5EF4-FFF2-40B4-BE49-F238E27FC236}">
              <a16:creationId xmlns:a16="http://schemas.microsoft.com/office/drawing/2014/main" id="{00000000-0008-0000-1000-00006F782700}"/>
            </a:ext>
          </a:extLst>
        </xdr:cNvPr>
        <xdr:cNvSpPr>
          <a:spLocks noChangeShapeType="1"/>
        </xdr:cNvSpPr>
      </xdr:nvSpPr>
      <xdr:spPr bwMode="auto">
        <a:xfrm>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86736" name="Line 46">
          <a:extLst>
            <a:ext uri="{FF2B5EF4-FFF2-40B4-BE49-F238E27FC236}">
              <a16:creationId xmlns:a16="http://schemas.microsoft.com/office/drawing/2014/main" id="{00000000-0008-0000-1000-00007078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86737" name="Line 47">
          <a:extLst>
            <a:ext uri="{FF2B5EF4-FFF2-40B4-BE49-F238E27FC236}">
              <a16:creationId xmlns:a16="http://schemas.microsoft.com/office/drawing/2014/main" id="{00000000-0008-0000-1000-00007178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86738" name="Line 49">
          <a:extLst>
            <a:ext uri="{FF2B5EF4-FFF2-40B4-BE49-F238E27FC236}">
              <a16:creationId xmlns:a16="http://schemas.microsoft.com/office/drawing/2014/main" id="{00000000-0008-0000-1000-00007278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86739" name="Line 50">
          <a:extLst>
            <a:ext uri="{FF2B5EF4-FFF2-40B4-BE49-F238E27FC236}">
              <a16:creationId xmlns:a16="http://schemas.microsoft.com/office/drawing/2014/main" id="{00000000-0008-0000-1000-00007378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86740" name="Line 51">
          <a:extLst>
            <a:ext uri="{FF2B5EF4-FFF2-40B4-BE49-F238E27FC236}">
              <a16:creationId xmlns:a16="http://schemas.microsoft.com/office/drawing/2014/main" id="{00000000-0008-0000-1000-00007478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86741" name="Line 52">
          <a:extLst>
            <a:ext uri="{FF2B5EF4-FFF2-40B4-BE49-F238E27FC236}">
              <a16:creationId xmlns:a16="http://schemas.microsoft.com/office/drawing/2014/main" id="{00000000-0008-0000-1000-00007578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86742" name="Line 53">
          <a:extLst>
            <a:ext uri="{FF2B5EF4-FFF2-40B4-BE49-F238E27FC236}">
              <a16:creationId xmlns:a16="http://schemas.microsoft.com/office/drawing/2014/main" id="{00000000-0008-0000-1000-000076782700}"/>
            </a:ext>
          </a:extLst>
        </xdr:cNvPr>
        <xdr:cNvSpPr>
          <a:spLocks noChangeShapeType="1"/>
        </xdr:cNvSpPr>
      </xdr:nvSpPr>
      <xdr:spPr bwMode="auto">
        <a:xfrm flipV="1">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86743" name="Line 54">
          <a:extLst>
            <a:ext uri="{FF2B5EF4-FFF2-40B4-BE49-F238E27FC236}">
              <a16:creationId xmlns:a16="http://schemas.microsoft.com/office/drawing/2014/main" id="{00000000-0008-0000-1000-000077782700}"/>
            </a:ext>
          </a:extLst>
        </xdr:cNvPr>
        <xdr:cNvSpPr>
          <a:spLocks noChangeShapeType="1"/>
        </xdr:cNvSpPr>
      </xdr:nvSpPr>
      <xdr:spPr bwMode="auto">
        <a:xfrm>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86744" name="Line 58">
          <a:extLst>
            <a:ext uri="{FF2B5EF4-FFF2-40B4-BE49-F238E27FC236}">
              <a16:creationId xmlns:a16="http://schemas.microsoft.com/office/drawing/2014/main" id="{00000000-0008-0000-1000-00007878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86745" name="Line 59">
          <a:extLst>
            <a:ext uri="{FF2B5EF4-FFF2-40B4-BE49-F238E27FC236}">
              <a16:creationId xmlns:a16="http://schemas.microsoft.com/office/drawing/2014/main" id="{00000000-0008-0000-1000-00007978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86746" name="Line 129">
          <a:extLst>
            <a:ext uri="{FF2B5EF4-FFF2-40B4-BE49-F238E27FC236}">
              <a16:creationId xmlns:a16="http://schemas.microsoft.com/office/drawing/2014/main" id="{00000000-0008-0000-1000-00007A782700}"/>
            </a:ext>
          </a:extLst>
        </xdr:cNvPr>
        <xdr:cNvSpPr>
          <a:spLocks noChangeShapeType="1"/>
        </xdr:cNvSpPr>
      </xdr:nvSpPr>
      <xdr:spPr bwMode="auto">
        <a:xfrm flipV="1">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86747" name="Line 130">
          <a:extLst>
            <a:ext uri="{FF2B5EF4-FFF2-40B4-BE49-F238E27FC236}">
              <a16:creationId xmlns:a16="http://schemas.microsoft.com/office/drawing/2014/main" id="{00000000-0008-0000-1000-00007B782700}"/>
            </a:ext>
          </a:extLst>
        </xdr:cNvPr>
        <xdr:cNvSpPr>
          <a:spLocks noChangeShapeType="1"/>
        </xdr:cNvSpPr>
      </xdr:nvSpPr>
      <xdr:spPr bwMode="auto">
        <a:xfrm>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86748" name="Line 131">
          <a:extLst>
            <a:ext uri="{FF2B5EF4-FFF2-40B4-BE49-F238E27FC236}">
              <a16:creationId xmlns:a16="http://schemas.microsoft.com/office/drawing/2014/main" id="{00000000-0008-0000-1000-00007C78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86749" name="Line 132">
          <a:extLst>
            <a:ext uri="{FF2B5EF4-FFF2-40B4-BE49-F238E27FC236}">
              <a16:creationId xmlns:a16="http://schemas.microsoft.com/office/drawing/2014/main" id="{00000000-0008-0000-1000-00007D78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86750" name="Line 133">
          <a:extLst>
            <a:ext uri="{FF2B5EF4-FFF2-40B4-BE49-F238E27FC236}">
              <a16:creationId xmlns:a16="http://schemas.microsoft.com/office/drawing/2014/main" id="{00000000-0008-0000-1000-00007E78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86751" name="Line 134">
          <a:extLst>
            <a:ext uri="{FF2B5EF4-FFF2-40B4-BE49-F238E27FC236}">
              <a16:creationId xmlns:a16="http://schemas.microsoft.com/office/drawing/2014/main" id="{00000000-0008-0000-1000-00007F78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52" name="Line 135">
          <a:extLst>
            <a:ext uri="{FF2B5EF4-FFF2-40B4-BE49-F238E27FC236}">
              <a16:creationId xmlns:a16="http://schemas.microsoft.com/office/drawing/2014/main" id="{00000000-0008-0000-1000-000080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24</xdr:row>
      <xdr:rowOff>0</xdr:rowOff>
    </xdr:to>
    <xdr:sp macro="" textlink="">
      <xdr:nvSpPr>
        <xdr:cNvPr id="2586753" name="Line 136">
          <a:extLst>
            <a:ext uri="{FF2B5EF4-FFF2-40B4-BE49-F238E27FC236}">
              <a16:creationId xmlns:a16="http://schemas.microsoft.com/office/drawing/2014/main" id="{00000000-0008-0000-1000-00008178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86754" name="Line 141">
          <a:extLst>
            <a:ext uri="{FF2B5EF4-FFF2-40B4-BE49-F238E27FC236}">
              <a16:creationId xmlns:a16="http://schemas.microsoft.com/office/drawing/2014/main" id="{00000000-0008-0000-1000-000082782700}"/>
            </a:ext>
          </a:extLst>
        </xdr:cNvPr>
        <xdr:cNvSpPr>
          <a:spLocks noChangeShapeType="1"/>
        </xdr:cNvSpPr>
      </xdr:nvSpPr>
      <xdr:spPr bwMode="auto">
        <a:xfrm flipV="1">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86755" name="Line 142">
          <a:extLst>
            <a:ext uri="{FF2B5EF4-FFF2-40B4-BE49-F238E27FC236}">
              <a16:creationId xmlns:a16="http://schemas.microsoft.com/office/drawing/2014/main" id="{00000000-0008-0000-1000-000083782700}"/>
            </a:ext>
          </a:extLst>
        </xdr:cNvPr>
        <xdr:cNvSpPr>
          <a:spLocks noChangeShapeType="1"/>
        </xdr:cNvSpPr>
      </xdr:nvSpPr>
      <xdr:spPr bwMode="auto">
        <a:xfrm>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56" name="Line 612">
          <a:extLst>
            <a:ext uri="{FF2B5EF4-FFF2-40B4-BE49-F238E27FC236}">
              <a16:creationId xmlns:a16="http://schemas.microsoft.com/office/drawing/2014/main" id="{00000000-0008-0000-1000-000084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0</xdr:col>
      <xdr:colOff>0</xdr:colOff>
      <xdr:row>10</xdr:row>
      <xdr:rowOff>0</xdr:rowOff>
    </xdr:from>
    <xdr:to>
      <xdr:col>3</xdr:col>
      <xdr:colOff>0</xdr:colOff>
      <xdr:row>11</xdr:row>
      <xdr:rowOff>0</xdr:rowOff>
    </xdr:to>
    <xdr:sp macro="" textlink="">
      <xdr:nvSpPr>
        <xdr:cNvPr id="432687" name="Text Box 5679">
          <a:hlinkClick xmlns:r="http://schemas.openxmlformats.org/officeDocument/2006/relationships" r:id="rId1"/>
          <a:extLst>
            <a:ext uri="{FF2B5EF4-FFF2-40B4-BE49-F238E27FC236}">
              <a16:creationId xmlns:a16="http://schemas.microsoft.com/office/drawing/2014/main" id="{00000000-0008-0000-1000-00002F9A0600}"/>
            </a:ext>
          </a:extLst>
        </xdr:cNvPr>
        <xdr:cNvSpPr txBox="1">
          <a:spLocks noChangeArrowheads="1"/>
        </xdr:cNvSpPr>
      </xdr:nvSpPr>
      <xdr:spPr bwMode="auto">
        <a:xfrm>
          <a:off x="0" y="18923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&lt; zurück</a:t>
          </a:r>
        </a:p>
      </xdr:txBody>
    </xdr:sp>
    <xdr:clientData fPrintsWithSheet="0"/>
  </xdr:twoCellAnchor>
  <xdr:twoCellAnchor>
    <xdr:from>
      <xdr:col>0</xdr:col>
      <xdr:colOff>0</xdr:colOff>
      <xdr:row>6</xdr:row>
      <xdr:rowOff>0</xdr:rowOff>
    </xdr:from>
    <xdr:to>
      <xdr:col>3</xdr:col>
      <xdr:colOff>0</xdr:colOff>
      <xdr:row>7</xdr:row>
      <xdr:rowOff>0</xdr:rowOff>
    </xdr:to>
    <xdr:sp macro="" textlink="">
      <xdr:nvSpPr>
        <xdr:cNvPr id="432688" name="Text Box 5680">
          <a:hlinkClick xmlns:r="http://schemas.openxmlformats.org/officeDocument/2006/relationships" r:id="rId2"/>
          <a:extLst>
            <a:ext uri="{FF2B5EF4-FFF2-40B4-BE49-F238E27FC236}">
              <a16:creationId xmlns:a16="http://schemas.microsoft.com/office/drawing/2014/main" id="{00000000-0008-0000-1000-0000309A0600}"/>
            </a:ext>
          </a:extLst>
        </xdr:cNvPr>
        <xdr:cNvSpPr txBox="1">
          <a:spLocks noChangeArrowheads="1"/>
        </xdr:cNvSpPr>
      </xdr:nvSpPr>
      <xdr:spPr bwMode="auto">
        <a:xfrm>
          <a:off x="0" y="774700"/>
          <a:ext cx="1714500" cy="2794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zur Startseite</a:t>
          </a:r>
        </a:p>
      </xdr:txBody>
    </xdr:sp>
    <xdr:clientData fPrintsWithSheet="0"/>
  </xdr:twoCellAnchor>
  <xdr:twoCellAnchor>
    <xdr:from>
      <xdr:col>0</xdr:col>
      <xdr:colOff>0</xdr:colOff>
      <xdr:row>8</xdr:row>
      <xdr:rowOff>0</xdr:rowOff>
    </xdr:from>
    <xdr:to>
      <xdr:col>3</xdr:col>
      <xdr:colOff>0</xdr:colOff>
      <xdr:row>9</xdr:row>
      <xdr:rowOff>0</xdr:rowOff>
    </xdr:to>
    <xdr:sp macro="" textlink="">
      <xdr:nvSpPr>
        <xdr:cNvPr id="432689" name="Text Box 5681">
          <a:hlinkClick xmlns:r="http://schemas.openxmlformats.org/officeDocument/2006/relationships" r:id="rId3"/>
          <a:extLst>
            <a:ext uri="{FF2B5EF4-FFF2-40B4-BE49-F238E27FC236}">
              <a16:creationId xmlns:a16="http://schemas.microsoft.com/office/drawing/2014/main" id="{00000000-0008-0000-1000-0000319A0600}"/>
            </a:ext>
          </a:extLst>
        </xdr:cNvPr>
        <xdr:cNvSpPr txBox="1">
          <a:spLocks noChangeArrowheads="1"/>
        </xdr:cNvSpPr>
      </xdr:nvSpPr>
      <xdr:spPr bwMode="auto">
        <a:xfrm>
          <a:off x="0" y="13335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 weiter &gt;</a:t>
          </a:r>
        </a:p>
      </xdr:txBody>
    </xdr:sp>
    <xdr:clientData fPrintsWithSheet="0"/>
  </xdr:twoCellAnchor>
  <xdr:twoCellAnchor>
    <xdr:from>
      <xdr:col>1</xdr:col>
      <xdr:colOff>12700</xdr:colOff>
      <xdr:row>24</xdr:row>
      <xdr:rowOff>0</xdr:rowOff>
    </xdr:from>
    <xdr:to>
      <xdr:col>2</xdr:col>
      <xdr:colOff>12700</xdr:colOff>
      <xdr:row>24</xdr:row>
      <xdr:rowOff>0</xdr:rowOff>
    </xdr:to>
    <xdr:sp macro="" textlink="">
      <xdr:nvSpPr>
        <xdr:cNvPr id="2586760" name="Line 135">
          <a:extLst>
            <a:ext uri="{FF2B5EF4-FFF2-40B4-BE49-F238E27FC236}">
              <a16:creationId xmlns:a16="http://schemas.microsoft.com/office/drawing/2014/main" id="{00000000-0008-0000-1000-000088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61" name="Line 330">
          <a:extLst>
            <a:ext uri="{FF2B5EF4-FFF2-40B4-BE49-F238E27FC236}">
              <a16:creationId xmlns:a16="http://schemas.microsoft.com/office/drawing/2014/main" id="{00000000-0008-0000-1000-000089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62" name="Line 135">
          <a:extLst>
            <a:ext uri="{FF2B5EF4-FFF2-40B4-BE49-F238E27FC236}">
              <a16:creationId xmlns:a16="http://schemas.microsoft.com/office/drawing/2014/main" id="{00000000-0008-0000-1000-00008A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63" name="Line 330">
          <a:extLst>
            <a:ext uri="{FF2B5EF4-FFF2-40B4-BE49-F238E27FC236}">
              <a16:creationId xmlns:a16="http://schemas.microsoft.com/office/drawing/2014/main" id="{00000000-0008-0000-1000-00008B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64" name="Line 330">
          <a:extLst>
            <a:ext uri="{FF2B5EF4-FFF2-40B4-BE49-F238E27FC236}">
              <a16:creationId xmlns:a16="http://schemas.microsoft.com/office/drawing/2014/main" id="{00000000-0008-0000-1000-00008C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65" name="Line 135">
          <a:extLst>
            <a:ext uri="{FF2B5EF4-FFF2-40B4-BE49-F238E27FC236}">
              <a16:creationId xmlns:a16="http://schemas.microsoft.com/office/drawing/2014/main" id="{00000000-0008-0000-1000-00008D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66" name="Line 612">
          <a:extLst>
            <a:ext uri="{FF2B5EF4-FFF2-40B4-BE49-F238E27FC236}">
              <a16:creationId xmlns:a16="http://schemas.microsoft.com/office/drawing/2014/main" id="{00000000-0008-0000-1000-00008E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67" name="Line 135">
          <a:extLst>
            <a:ext uri="{FF2B5EF4-FFF2-40B4-BE49-F238E27FC236}">
              <a16:creationId xmlns:a16="http://schemas.microsoft.com/office/drawing/2014/main" id="{00000000-0008-0000-1000-00008F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68" name="Line 330">
          <a:extLst>
            <a:ext uri="{FF2B5EF4-FFF2-40B4-BE49-F238E27FC236}">
              <a16:creationId xmlns:a16="http://schemas.microsoft.com/office/drawing/2014/main" id="{00000000-0008-0000-1000-000090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69" name="Line 330">
          <a:extLst>
            <a:ext uri="{FF2B5EF4-FFF2-40B4-BE49-F238E27FC236}">
              <a16:creationId xmlns:a16="http://schemas.microsoft.com/office/drawing/2014/main" id="{00000000-0008-0000-1000-000091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70" name="Line 135">
          <a:extLst>
            <a:ext uri="{FF2B5EF4-FFF2-40B4-BE49-F238E27FC236}">
              <a16:creationId xmlns:a16="http://schemas.microsoft.com/office/drawing/2014/main" id="{00000000-0008-0000-1000-000092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71" name="Line 612">
          <a:extLst>
            <a:ext uri="{FF2B5EF4-FFF2-40B4-BE49-F238E27FC236}">
              <a16:creationId xmlns:a16="http://schemas.microsoft.com/office/drawing/2014/main" id="{00000000-0008-0000-1000-000093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72" name="Line 330">
          <a:extLst>
            <a:ext uri="{FF2B5EF4-FFF2-40B4-BE49-F238E27FC236}">
              <a16:creationId xmlns:a16="http://schemas.microsoft.com/office/drawing/2014/main" id="{00000000-0008-0000-1000-000094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73" name="Line 135">
          <a:extLst>
            <a:ext uri="{FF2B5EF4-FFF2-40B4-BE49-F238E27FC236}">
              <a16:creationId xmlns:a16="http://schemas.microsoft.com/office/drawing/2014/main" id="{00000000-0008-0000-1000-000095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74" name="Line 612">
          <a:extLst>
            <a:ext uri="{FF2B5EF4-FFF2-40B4-BE49-F238E27FC236}">
              <a16:creationId xmlns:a16="http://schemas.microsoft.com/office/drawing/2014/main" id="{00000000-0008-0000-1000-000096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12700</xdr:colOff>
      <xdr:row>24</xdr:row>
      <xdr:rowOff>0</xdr:rowOff>
    </xdr:from>
    <xdr:to>
      <xdr:col>2</xdr:col>
      <xdr:colOff>12700</xdr:colOff>
      <xdr:row>24</xdr:row>
      <xdr:rowOff>0</xdr:rowOff>
    </xdr:to>
    <xdr:sp macro="" textlink="">
      <xdr:nvSpPr>
        <xdr:cNvPr id="2547296" name="Line 135">
          <a:extLst>
            <a:ext uri="{FF2B5EF4-FFF2-40B4-BE49-F238E27FC236}">
              <a16:creationId xmlns:a16="http://schemas.microsoft.com/office/drawing/2014/main" id="{00000000-0008-0000-1100-000060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297" name="Line 330">
          <a:extLst>
            <a:ext uri="{FF2B5EF4-FFF2-40B4-BE49-F238E27FC236}">
              <a16:creationId xmlns:a16="http://schemas.microsoft.com/office/drawing/2014/main" id="{00000000-0008-0000-1100-000061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298" name="Line 135">
          <a:extLst>
            <a:ext uri="{FF2B5EF4-FFF2-40B4-BE49-F238E27FC236}">
              <a16:creationId xmlns:a16="http://schemas.microsoft.com/office/drawing/2014/main" id="{00000000-0008-0000-1100-000062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299" name="Line 330">
          <a:extLst>
            <a:ext uri="{FF2B5EF4-FFF2-40B4-BE49-F238E27FC236}">
              <a16:creationId xmlns:a16="http://schemas.microsoft.com/office/drawing/2014/main" id="{00000000-0008-0000-1100-000063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00" name="Line 330">
          <a:extLst>
            <a:ext uri="{FF2B5EF4-FFF2-40B4-BE49-F238E27FC236}">
              <a16:creationId xmlns:a16="http://schemas.microsoft.com/office/drawing/2014/main" id="{00000000-0008-0000-1100-000064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47301" name="Line 4">
          <a:extLst>
            <a:ext uri="{FF2B5EF4-FFF2-40B4-BE49-F238E27FC236}">
              <a16:creationId xmlns:a16="http://schemas.microsoft.com/office/drawing/2014/main" id="{00000000-0008-0000-1100-000065DE2600}"/>
            </a:ext>
          </a:extLst>
        </xdr:cNvPr>
        <xdr:cNvSpPr>
          <a:spLocks noChangeShapeType="1"/>
        </xdr:cNvSpPr>
      </xdr:nvSpPr>
      <xdr:spPr bwMode="auto">
        <a:xfrm>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47302" name="Line 5">
          <a:extLst>
            <a:ext uri="{FF2B5EF4-FFF2-40B4-BE49-F238E27FC236}">
              <a16:creationId xmlns:a16="http://schemas.microsoft.com/office/drawing/2014/main" id="{00000000-0008-0000-1100-000066DE2600}"/>
            </a:ext>
          </a:extLst>
        </xdr:cNvPr>
        <xdr:cNvSpPr>
          <a:spLocks noChangeShapeType="1"/>
        </xdr:cNvSpPr>
      </xdr:nvSpPr>
      <xdr:spPr bwMode="auto">
        <a:xfrm flipV="1">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47303" name="Line 8">
          <a:extLst>
            <a:ext uri="{FF2B5EF4-FFF2-40B4-BE49-F238E27FC236}">
              <a16:creationId xmlns:a16="http://schemas.microsoft.com/office/drawing/2014/main" id="{00000000-0008-0000-1100-000067DE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47304" name="Line 9">
          <a:extLst>
            <a:ext uri="{FF2B5EF4-FFF2-40B4-BE49-F238E27FC236}">
              <a16:creationId xmlns:a16="http://schemas.microsoft.com/office/drawing/2014/main" id="{00000000-0008-0000-1100-000068DE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47305" name="Line 10">
          <a:extLst>
            <a:ext uri="{FF2B5EF4-FFF2-40B4-BE49-F238E27FC236}">
              <a16:creationId xmlns:a16="http://schemas.microsoft.com/office/drawing/2014/main" id="{00000000-0008-0000-1100-000069DE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47306" name="Line 11">
          <a:extLst>
            <a:ext uri="{FF2B5EF4-FFF2-40B4-BE49-F238E27FC236}">
              <a16:creationId xmlns:a16="http://schemas.microsoft.com/office/drawing/2014/main" id="{00000000-0008-0000-1100-00006ADE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47307" name="Line 20">
          <a:extLst>
            <a:ext uri="{FF2B5EF4-FFF2-40B4-BE49-F238E27FC236}">
              <a16:creationId xmlns:a16="http://schemas.microsoft.com/office/drawing/2014/main" id="{00000000-0008-0000-1100-00006BDE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47308" name="Line 21">
          <a:extLst>
            <a:ext uri="{FF2B5EF4-FFF2-40B4-BE49-F238E27FC236}">
              <a16:creationId xmlns:a16="http://schemas.microsoft.com/office/drawing/2014/main" id="{00000000-0008-0000-1100-00006CDE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47309" name="Line 22">
          <a:extLst>
            <a:ext uri="{FF2B5EF4-FFF2-40B4-BE49-F238E27FC236}">
              <a16:creationId xmlns:a16="http://schemas.microsoft.com/office/drawing/2014/main" id="{00000000-0008-0000-1100-00006DDE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47310" name="Line 23">
          <a:extLst>
            <a:ext uri="{FF2B5EF4-FFF2-40B4-BE49-F238E27FC236}">
              <a16:creationId xmlns:a16="http://schemas.microsoft.com/office/drawing/2014/main" id="{00000000-0008-0000-1100-00006EDE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47311" name="Line 26">
          <a:extLst>
            <a:ext uri="{FF2B5EF4-FFF2-40B4-BE49-F238E27FC236}">
              <a16:creationId xmlns:a16="http://schemas.microsoft.com/office/drawing/2014/main" id="{00000000-0008-0000-1100-00006FDE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47312" name="Line 27">
          <a:extLst>
            <a:ext uri="{FF2B5EF4-FFF2-40B4-BE49-F238E27FC236}">
              <a16:creationId xmlns:a16="http://schemas.microsoft.com/office/drawing/2014/main" id="{00000000-0008-0000-1100-000070DE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47313" name="Line 28">
          <a:extLst>
            <a:ext uri="{FF2B5EF4-FFF2-40B4-BE49-F238E27FC236}">
              <a16:creationId xmlns:a16="http://schemas.microsoft.com/office/drawing/2014/main" id="{00000000-0008-0000-1100-000071DE26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47314" name="Line 29">
          <a:extLst>
            <a:ext uri="{FF2B5EF4-FFF2-40B4-BE49-F238E27FC236}">
              <a16:creationId xmlns:a16="http://schemas.microsoft.com/office/drawing/2014/main" id="{00000000-0008-0000-1100-000072DE2600}"/>
            </a:ext>
          </a:extLst>
        </xdr:cNvPr>
        <xdr:cNvSpPr>
          <a:spLocks noChangeShapeType="1"/>
        </xdr:cNvSpPr>
      </xdr:nvSpPr>
      <xdr:spPr bwMode="auto">
        <a:xfrm>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47315" name="Line 30">
          <a:extLst>
            <a:ext uri="{FF2B5EF4-FFF2-40B4-BE49-F238E27FC236}">
              <a16:creationId xmlns:a16="http://schemas.microsoft.com/office/drawing/2014/main" id="{00000000-0008-0000-1100-000073DE2600}"/>
            </a:ext>
          </a:extLst>
        </xdr:cNvPr>
        <xdr:cNvSpPr>
          <a:spLocks noChangeShapeType="1"/>
        </xdr:cNvSpPr>
      </xdr:nvSpPr>
      <xdr:spPr bwMode="auto">
        <a:xfrm flipV="1">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47316" name="Line 31">
          <a:extLst>
            <a:ext uri="{FF2B5EF4-FFF2-40B4-BE49-F238E27FC236}">
              <a16:creationId xmlns:a16="http://schemas.microsoft.com/office/drawing/2014/main" id="{00000000-0008-0000-1100-000074DE2600}"/>
            </a:ext>
          </a:extLst>
        </xdr:cNvPr>
        <xdr:cNvSpPr>
          <a:spLocks noChangeShapeType="1"/>
        </xdr:cNvSpPr>
      </xdr:nvSpPr>
      <xdr:spPr bwMode="auto">
        <a:xfrm>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47317" name="Line 32">
          <a:extLst>
            <a:ext uri="{FF2B5EF4-FFF2-40B4-BE49-F238E27FC236}">
              <a16:creationId xmlns:a16="http://schemas.microsoft.com/office/drawing/2014/main" id="{00000000-0008-0000-1100-000075DE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47318" name="Line 33">
          <a:extLst>
            <a:ext uri="{FF2B5EF4-FFF2-40B4-BE49-F238E27FC236}">
              <a16:creationId xmlns:a16="http://schemas.microsoft.com/office/drawing/2014/main" id="{00000000-0008-0000-1100-000076DE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47319" name="Line 34">
          <a:extLst>
            <a:ext uri="{FF2B5EF4-FFF2-40B4-BE49-F238E27FC236}">
              <a16:creationId xmlns:a16="http://schemas.microsoft.com/office/drawing/2014/main" id="{00000000-0008-0000-1100-000077DE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47320" name="Line 35">
          <a:extLst>
            <a:ext uri="{FF2B5EF4-FFF2-40B4-BE49-F238E27FC236}">
              <a16:creationId xmlns:a16="http://schemas.microsoft.com/office/drawing/2014/main" id="{00000000-0008-0000-1100-000078DE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27</xdr:row>
      <xdr:rowOff>0</xdr:rowOff>
    </xdr:to>
    <xdr:sp macro="" textlink="">
      <xdr:nvSpPr>
        <xdr:cNvPr id="2547321" name="Line 36">
          <a:extLst>
            <a:ext uri="{FF2B5EF4-FFF2-40B4-BE49-F238E27FC236}">
              <a16:creationId xmlns:a16="http://schemas.microsoft.com/office/drawing/2014/main" id="{00000000-0008-0000-1100-000079DE26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47322" name="Line 38">
          <a:extLst>
            <a:ext uri="{FF2B5EF4-FFF2-40B4-BE49-F238E27FC236}">
              <a16:creationId xmlns:a16="http://schemas.microsoft.com/office/drawing/2014/main" id="{00000000-0008-0000-1100-00007ADE2600}"/>
            </a:ext>
          </a:extLst>
        </xdr:cNvPr>
        <xdr:cNvSpPr>
          <a:spLocks noChangeShapeType="1"/>
        </xdr:cNvSpPr>
      </xdr:nvSpPr>
      <xdr:spPr bwMode="auto">
        <a:xfrm flipV="1">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47323" name="Line 39">
          <a:extLst>
            <a:ext uri="{FF2B5EF4-FFF2-40B4-BE49-F238E27FC236}">
              <a16:creationId xmlns:a16="http://schemas.microsoft.com/office/drawing/2014/main" id="{00000000-0008-0000-1100-00007BDE2600}"/>
            </a:ext>
          </a:extLst>
        </xdr:cNvPr>
        <xdr:cNvSpPr>
          <a:spLocks noChangeShapeType="1"/>
        </xdr:cNvSpPr>
      </xdr:nvSpPr>
      <xdr:spPr bwMode="auto">
        <a:xfrm>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47324" name="Line 40">
          <a:extLst>
            <a:ext uri="{FF2B5EF4-FFF2-40B4-BE49-F238E27FC236}">
              <a16:creationId xmlns:a16="http://schemas.microsoft.com/office/drawing/2014/main" id="{00000000-0008-0000-1100-00007CDE2600}"/>
            </a:ext>
          </a:extLst>
        </xdr:cNvPr>
        <xdr:cNvSpPr>
          <a:spLocks noChangeShapeType="1"/>
        </xdr:cNvSpPr>
      </xdr:nvSpPr>
      <xdr:spPr bwMode="auto">
        <a:xfrm flipV="1">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47325" name="Line 41">
          <a:extLst>
            <a:ext uri="{FF2B5EF4-FFF2-40B4-BE49-F238E27FC236}">
              <a16:creationId xmlns:a16="http://schemas.microsoft.com/office/drawing/2014/main" id="{00000000-0008-0000-1100-00007DDE26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47326" name="Line 42">
          <a:extLst>
            <a:ext uri="{FF2B5EF4-FFF2-40B4-BE49-F238E27FC236}">
              <a16:creationId xmlns:a16="http://schemas.microsoft.com/office/drawing/2014/main" id="{00000000-0008-0000-1100-00007EDE2600}"/>
            </a:ext>
          </a:extLst>
        </xdr:cNvPr>
        <xdr:cNvSpPr>
          <a:spLocks noChangeShapeType="1"/>
        </xdr:cNvSpPr>
      </xdr:nvSpPr>
      <xdr:spPr bwMode="auto">
        <a:xfrm flipV="1">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47327" name="Line 43">
          <a:extLst>
            <a:ext uri="{FF2B5EF4-FFF2-40B4-BE49-F238E27FC236}">
              <a16:creationId xmlns:a16="http://schemas.microsoft.com/office/drawing/2014/main" id="{00000000-0008-0000-1100-00007FDE2600}"/>
            </a:ext>
          </a:extLst>
        </xdr:cNvPr>
        <xdr:cNvSpPr>
          <a:spLocks noChangeShapeType="1"/>
        </xdr:cNvSpPr>
      </xdr:nvSpPr>
      <xdr:spPr bwMode="auto">
        <a:xfrm>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47328" name="Line 44">
          <a:extLst>
            <a:ext uri="{FF2B5EF4-FFF2-40B4-BE49-F238E27FC236}">
              <a16:creationId xmlns:a16="http://schemas.microsoft.com/office/drawing/2014/main" id="{00000000-0008-0000-1100-000080DE2600}"/>
            </a:ext>
          </a:extLst>
        </xdr:cNvPr>
        <xdr:cNvSpPr>
          <a:spLocks noChangeShapeType="1"/>
        </xdr:cNvSpPr>
      </xdr:nvSpPr>
      <xdr:spPr bwMode="auto">
        <a:xfrm flipV="1">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47329" name="Line 45">
          <a:extLst>
            <a:ext uri="{FF2B5EF4-FFF2-40B4-BE49-F238E27FC236}">
              <a16:creationId xmlns:a16="http://schemas.microsoft.com/office/drawing/2014/main" id="{00000000-0008-0000-1100-000081DE2600}"/>
            </a:ext>
          </a:extLst>
        </xdr:cNvPr>
        <xdr:cNvSpPr>
          <a:spLocks noChangeShapeType="1"/>
        </xdr:cNvSpPr>
      </xdr:nvSpPr>
      <xdr:spPr bwMode="auto">
        <a:xfrm>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47330" name="Line 46">
          <a:extLst>
            <a:ext uri="{FF2B5EF4-FFF2-40B4-BE49-F238E27FC236}">
              <a16:creationId xmlns:a16="http://schemas.microsoft.com/office/drawing/2014/main" id="{00000000-0008-0000-1100-000082DE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47331" name="Line 47">
          <a:extLst>
            <a:ext uri="{FF2B5EF4-FFF2-40B4-BE49-F238E27FC236}">
              <a16:creationId xmlns:a16="http://schemas.microsoft.com/office/drawing/2014/main" id="{00000000-0008-0000-1100-000083DE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47332" name="Line 49">
          <a:extLst>
            <a:ext uri="{FF2B5EF4-FFF2-40B4-BE49-F238E27FC236}">
              <a16:creationId xmlns:a16="http://schemas.microsoft.com/office/drawing/2014/main" id="{00000000-0008-0000-1100-000084DE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47333" name="Line 50">
          <a:extLst>
            <a:ext uri="{FF2B5EF4-FFF2-40B4-BE49-F238E27FC236}">
              <a16:creationId xmlns:a16="http://schemas.microsoft.com/office/drawing/2014/main" id="{00000000-0008-0000-1100-000085DE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47334" name="Line 51">
          <a:extLst>
            <a:ext uri="{FF2B5EF4-FFF2-40B4-BE49-F238E27FC236}">
              <a16:creationId xmlns:a16="http://schemas.microsoft.com/office/drawing/2014/main" id="{00000000-0008-0000-1100-000086DE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47335" name="Line 52">
          <a:extLst>
            <a:ext uri="{FF2B5EF4-FFF2-40B4-BE49-F238E27FC236}">
              <a16:creationId xmlns:a16="http://schemas.microsoft.com/office/drawing/2014/main" id="{00000000-0008-0000-1100-000087DE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47336" name="Line 53">
          <a:extLst>
            <a:ext uri="{FF2B5EF4-FFF2-40B4-BE49-F238E27FC236}">
              <a16:creationId xmlns:a16="http://schemas.microsoft.com/office/drawing/2014/main" id="{00000000-0008-0000-1100-000088DE2600}"/>
            </a:ext>
          </a:extLst>
        </xdr:cNvPr>
        <xdr:cNvSpPr>
          <a:spLocks noChangeShapeType="1"/>
        </xdr:cNvSpPr>
      </xdr:nvSpPr>
      <xdr:spPr bwMode="auto">
        <a:xfrm flipV="1">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47337" name="Line 54">
          <a:extLst>
            <a:ext uri="{FF2B5EF4-FFF2-40B4-BE49-F238E27FC236}">
              <a16:creationId xmlns:a16="http://schemas.microsoft.com/office/drawing/2014/main" id="{00000000-0008-0000-1100-000089DE2600}"/>
            </a:ext>
          </a:extLst>
        </xdr:cNvPr>
        <xdr:cNvSpPr>
          <a:spLocks noChangeShapeType="1"/>
        </xdr:cNvSpPr>
      </xdr:nvSpPr>
      <xdr:spPr bwMode="auto">
        <a:xfrm>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47338" name="Line 58">
          <a:extLst>
            <a:ext uri="{FF2B5EF4-FFF2-40B4-BE49-F238E27FC236}">
              <a16:creationId xmlns:a16="http://schemas.microsoft.com/office/drawing/2014/main" id="{00000000-0008-0000-1100-00008ADE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47339" name="Line 59">
          <a:extLst>
            <a:ext uri="{FF2B5EF4-FFF2-40B4-BE49-F238E27FC236}">
              <a16:creationId xmlns:a16="http://schemas.microsoft.com/office/drawing/2014/main" id="{00000000-0008-0000-1100-00008BDE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47340" name="Line 129">
          <a:extLst>
            <a:ext uri="{FF2B5EF4-FFF2-40B4-BE49-F238E27FC236}">
              <a16:creationId xmlns:a16="http://schemas.microsoft.com/office/drawing/2014/main" id="{00000000-0008-0000-1100-00008CDE2600}"/>
            </a:ext>
          </a:extLst>
        </xdr:cNvPr>
        <xdr:cNvSpPr>
          <a:spLocks noChangeShapeType="1"/>
        </xdr:cNvSpPr>
      </xdr:nvSpPr>
      <xdr:spPr bwMode="auto">
        <a:xfrm flipV="1">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47341" name="Line 130">
          <a:extLst>
            <a:ext uri="{FF2B5EF4-FFF2-40B4-BE49-F238E27FC236}">
              <a16:creationId xmlns:a16="http://schemas.microsoft.com/office/drawing/2014/main" id="{00000000-0008-0000-1100-00008DDE2600}"/>
            </a:ext>
          </a:extLst>
        </xdr:cNvPr>
        <xdr:cNvSpPr>
          <a:spLocks noChangeShapeType="1"/>
        </xdr:cNvSpPr>
      </xdr:nvSpPr>
      <xdr:spPr bwMode="auto">
        <a:xfrm>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47342" name="Line 131">
          <a:extLst>
            <a:ext uri="{FF2B5EF4-FFF2-40B4-BE49-F238E27FC236}">
              <a16:creationId xmlns:a16="http://schemas.microsoft.com/office/drawing/2014/main" id="{00000000-0008-0000-1100-00008EDE26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47343" name="Line 132">
          <a:extLst>
            <a:ext uri="{FF2B5EF4-FFF2-40B4-BE49-F238E27FC236}">
              <a16:creationId xmlns:a16="http://schemas.microsoft.com/office/drawing/2014/main" id="{00000000-0008-0000-1100-00008FDE26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47344" name="Line 133">
          <a:extLst>
            <a:ext uri="{FF2B5EF4-FFF2-40B4-BE49-F238E27FC236}">
              <a16:creationId xmlns:a16="http://schemas.microsoft.com/office/drawing/2014/main" id="{00000000-0008-0000-1100-000090DE26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47345" name="Line 134">
          <a:extLst>
            <a:ext uri="{FF2B5EF4-FFF2-40B4-BE49-F238E27FC236}">
              <a16:creationId xmlns:a16="http://schemas.microsoft.com/office/drawing/2014/main" id="{00000000-0008-0000-1100-000091DE26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46" name="Line 135">
          <a:extLst>
            <a:ext uri="{FF2B5EF4-FFF2-40B4-BE49-F238E27FC236}">
              <a16:creationId xmlns:a16="http://schemas.microsoft.com/office/drawing/2014/main" id="{00000000-0008-0000-1100-000092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24</xdr:row>
      <xdr:rowOff>0</xdr:rowOff>
    </xdr:to>
    <xdr:sp macro="" textlink="">
      <xdr:nvSpPr>
        <xdr:cNvPr id="2547347" name="Line 136">
          <a:extLst>
            <a:ext uri="{FF2B5EF4-FFF2-40B4-BE49-F238E27FC236}">
              <a16:creationId xmlns:a16="http://schemas.microsoft.com/office/drawing/2014/main" id="{00000000-0008-0000-1100-000093DE26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47348" name="Line 141">
          <a:extLst>
            <a:ext uri="{FF2B5EF4-FFF2-40B4-BE49-F238E27FC236}">
              <a16:creationId xmlns:a16="http://schemas.microsoft.com/office/drawing/2014/main" id="{00000000-0008-0000-1100-000094DE2600}"/>
            </a:ext>
          </a:extLst>
        </xdr:cNvPr>
        <xdr:cNvSpPr>
          <a:spLocks noChangeShapeType="1"/>
        </xdr:cNvSpPr>
      </xdr:nvSpPr>
      <xdr:spPr bwMode="auto">
        <a:xfrm flipV="1">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47349" name="Line 142">
          <a:extLst>
            <a:ext uri="{FF2B5EF4-FFF2-40B4-BE49-F238E27FC236}">
              <a16:creationId xmlns:a16="http://schemas.microsoft.com/office/drawing/2014/main" id="{00000000-0008-0000-1100-000095DE2600}"/>
            </a:ext>
          </a:extLst>
        </xdr:cNvPr>
        <xdr:cNvSpPr>
          <a:spLocks noChangeShapeType="1"/>
        </xdr:cNvSpPr>
      </xdr:nvSpPr>
      <xdr:spPr bwMode="auto">
        <a:xfrm>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50" name="Line 612">
          <a:extLst>
            <a:ext uri="{FF2B5EF4-FFF2-40B4-BE49-F238E27FC236}">
              <a16:creationId xmlns:a16="http://schemas.microsoft.com/office/drawing/2014/main" id="{00000000-0008-0000-1100-000096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0</xdr:col>
      <xdr:colOff>0</xdr:colOff>
      <xdr:row>6</xdr:row>
      <xdr:rowOff>0</xdr:rowOff>
    </xdr:from>
    <xdr:to>
      <xdr:col>3</xdr:col>
      <xdr:colOff>0</xdr:colOff>
      <xdr:row>7</xdr:row>
      <xdr:rowOff>0</xdr:rowOff>
    </xdr:to>
    <xdr:sp macro="" textlink="">
      <xdr:nvSpPr>
        <xdr:cNvPr id="433709" name="Text Box 5677">
          <a:hlinkClick xmlns:r="http://schemas.openxmlformats.org/officeDocument/2006/relationships" r:id="rId1"/>
          <a:extLst>
            <a:ext uri="{FF2B5EF4-FFF2-40B4-BE49-F238E27FC236}">
              <a16:creationId xmlns:a16="http://schemas.microsoft.com/office/drawing/2014/main" id="{00000000-0008-0000-1100-00002D9E0600}"/>
            </a:ext>
          </a:extLst>
        </xdr:cNvPr>
        <xdr:cNvSpPr txBox="1">
          <a:spLocks noChangeArrowheads="1"/>
        </xdr:cNvSpPr>
      </xdr:nvSpPr>
      <xdr:spPr bwMode="auto">
        <a:xfrm>
          <a:off x="0" y="774700"/>
          <a:ext cx="1714500" cy="2794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zur Startseite</a:t>
          </a:r>
        </a:p>
      </xdr:txBody>
    </xdr:sp>
    <xdr:clientData fPrintsWithSheet="0"/>
  </xdr:twoCellAnchor>
  <xdr:twoCellAnchor>
    <xdr:from>
      <xdr:col>0</xdr:col>
      <xdr:colOff>0</xdr:colOff>
      <xdr:row>8</xdr:row>
      <xdr:rowOff>0</xdr:rowOff>
    </xdr:from>
    <xdr:to>
      <xdr:col>3</xdr:col>
      <xdr:colOff>0</xdr:colOff>
      <xdr:row>9</xdr:row>
      <xdr:rowOff>0</xdr:rowOff>
    </xdr:to>
    <xdr:sp macro="" textlink="">
      <xdr:nvSpPr>
        <xdr:cNvPr id="433710" name="Text Box 5678">
          <a:hlinkClick xmlns:r="http://schemas.openxmlformats.org/officeDocument/2006/relationships" r:id="rId2"/>
          <a:extLst>
            <a:ext uri="{FF2B5EF4-FFF2-40B4-BE49-F238E27FC236}">
              <a16:creationId xmlns:a16="http://schemas.microsoft.com/office/drawing/2014/main" id="{00000000-0008-0000-1100-00002E9E0600}"/>
            </a:ext>
          </a:extLst>
        </xdr:cNvPr>
        <xdr:cNvSpPr txBox="1">
          <a:spLocks noChangeArrowheads="1"/>
        </xdr:cNvSpPr>
      </xdr:nvSpPr>
      <xdr:spPr bwMode="auto">
        <a:xfrm>
          <a:off x="0" y="13335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 weiter &gt;</a:t>
          </a:r>
        </a:p>
      </xdr:txBody>
    </xdr:sp>
    <xdr:clientData fPrintsWithSheet="0"/>
  </xdr:twoCellAnchor>
  <xdr:twoCellAnchor>
    <xdr:from>
      <xdr:col>0</xdr:col>
      <xdr:colOff>0</xdr:colOff>
      <xdr:row>10</xdr:row>
      <xdr:rowOff>0</xdr:rowOff>
    </xdr:from>
    <xdr:to>
      <xdr:col>3</xdr:col>
      <xdr:colOff>0</xdr:colOff>
      <xdr:row>11</xdr:row>
      <xdr:rowOff>0</xdr:rowOff>
    </xdr:to>
    <xdr:sp macro="" textlink="">
      <xdr:nvSpPr>
        <xdr:cNvPr id="433711" name="Text Box 5679">
          <a:hlinkClick xmlns:r="http://schemas.openxmlformats.org/officeDocument/2006/relationships" r:id="rId3"/>
          <a:extLst>
            <a:ext uri="{FF2B5EF4-FFF2-40B4-BE49-F238E27FC236}">
              <a16:creationId xmlns:a16="http://schemas.microsoft.com/office/drawing/2014/main" id="{00000000-0008-0000-1100-00002F9E0600}"/>
            </a:ext>
          </a:extLst>
        </xdr:cNvPr>
        <xdr:cNvSpPr txBox="1">
          <a:spLocks noChangeArrowheads="1"/>
        </xdr:cNvSpPr>
      </xdr:nvSpPr>
      <xdr:spPr bwMode="auto">
        <a:xfrm>
          <a:off x="0" y="18923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&lt; zurück</a:t>
          </a:r>
        </a:p>
      </xdr:txBody>
    </xdr:sp>
    <xdr:clientData fPrintsWithSheet="0"/>
  </xdr:twoCellAnchor>
  <xdr:twoCellAnchor>
    <xdr:from>
      <xdr:col>1</xdr:col>
      <xdr:colOff>12700</xdr:colOff>
      <xdr:row>24</xdr:row>
      <xdr:rowOff>0</xdr:rowOff>
    </xdr:from>
    <xdr:to>
      <xdr:col>2</xdr:col>
      <xdr:colOff>12700</xdr:colOff>
      <xdr:row>24</xdr:row>
      <xdr:rowOff>0</xdr:rowOff>
    </xdr:to>
    <xdr:sp macro="" textlink="">
      <xdr:nvSpPr>
        <xdr:cNvPr id="2547354" name="Line 135">
          <a:extLst>
            <a:ext uri="{FF2B5EF4-FFF2-40B4-BE49-F238E27FC236}">
              <a16:creationId xmlns:a16="http://schemas.microsoft.com/office/drawing/2014/main" id="{00000000-0008-0000-1100-00009A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55" name="Line 331">
          <a:extLst>
            <a:ext uri="{FF2B5EF4-FFF2-40B4-BE49-F238E27FC236}">
              <a16:creationId xmlns:a16="http://schemas.microsoft.com/office/drawing/2014/main" id="{00000000-0008-0000-1100-00009B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56" name="Line 135">
          <a:extLst>
            <a:ext uri="{FF2B5EF4-FFF2-40B4-BE49-F238E27FC236}">
              <a16:creationId xmlns:a16="http://schemas.microsoft.com/office/drawing/2014/main" id="{00000000-0008-0000-1100-00009C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57" name="Line 330">
          <a:extLst>
            <a:ext uri="{FF2B5EF4-FFF2-40B4-BE49-F238E27FC236}">
              <a16:creationId xmlns:a16="http://schemas.microsoft.com/office/drawing/2014/main" id="{00000000-0008-0000-1100-00009D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58" name="Line 330">
          <a:extLst>
            <a:ext uri="{FF2B5EF4-FFF2-40B4-BE49-F238E27FC236}">
              <a16:creationId xmlns:a16="http://schemas.microsoft.com/office/drawing/2014/main" id="{00000000-0008-0000-1100-00009E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59" name="Line 135">
          <a:extLst>
            <a:ext uri="{FF2B5EF4-FFF2-40B4-BE49-F238E27FC236}">
              <a16:creationId xmlns:a16="http://schemas.microsoft.com/office/drawing/2014/main" id="{00000000-0008-0000-1100-00009F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60" name="Line 612">
          <a:extLst>
            <a:ext uri="{FF2B5EF4-FFF2-40B4-BE49-F238E27FC236}">
              <a16:creationId xmlns:a16="http://schemas.microsoft.com/office/drawing/2014/main" id="{00000000-0008-0000-1100-0000A0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61" name="Line 135">
          <a:extLst>
            <a:ext uri="{FF2B5EF4-FFF2-40B4-BE49-F238E27FC236}">
              <a16:creationId xmlns:a16="http://schemas.microsoft.com/office/drawing/2014/main" id="{00000000-0008-0000-1100-0000A1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62" name="Line 330">
          <a:extLst>
            <a:ext uri="{FF2B5EF4-FFF2-40B4-BE49-F238E27FC236}">
              <a16:creationId xmlns:a16="http://schemas.microsoft.com/office/drawing/2014/main" id="{00000000-0008-0000-1100-0000A2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63" name="Line 135">
          <a:extLst>
            <a:ext uri="{FF2B5EF4-FFF2-40B4-BE49-F238E27FC236}">
              <a16:creationId xmlns:a16="http://schemas.microsoft.com/office/drawing/2014/main" id="{00000000-0008-0000-1100-0000A3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64" name="Line 330">
          <a:extLst>
            <a:ext uri="{FF2B5EF4-FFF2-40B4-BE49-F238E27FC236}">
              <a16:creationId xmlns:a16="http://schemas.microsoft.com/office/drawing/2014/main" id="{00000000-0008-0000-1100-0000A4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65" name="Line 330">
          <a:extLst>
            <a:ext uri="{FF2B5EF4-FFF2-40B4-BE49-F238E27FC236}">
              <a16:creationId xmlns:a16="http://schemas.microsoft.com/office/drawing/2014/main" id="{00000000-0008-0000-1100-0000A5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66" name="Line 135">
          <a:extLst>
            <a:ext uri="{FF2B5EF4-FFF2-40B4-BE49-F238E27FC236}">
              <a16:creationId xmlns:a16="http://schemas.microsoft.com/office/drawing/2014/main" id="{00000000-0008-0000-1100-0000A6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67" name="Line 612">
          <a:extLst>
            <a:ext uri="{FF2B5EF4-FFF2-40B4-BE49-F238E27FC236}">
              <a16:creationId xmlns:a16="http://schemas.microsoft.com/office/drawing/2014/main" id="{00000000-0008-0000-1100-0000A7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68" name="Line 135">
          <a:extLst>
            <a:ext uri="{FF2B5EF4-FFF2-40B4-BE49-F238E27FC236}">
              <a16:creationId xmlns:a16="http://schemas.microsoft.com/office/drawing/2014/main" id="{00000000-0008-0000-1100-0000A8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69" name="Line 330">
          <a:extLst>
            <a:ext uri="{FF2B5EF4-FFF2-40B4-BE49-F238E27FC236}">
              <a16:creationId xmlns:a16="http://schemas.microsoft.com/office/drawing/2014/main" id="{00000000-0008-0000-1100-0000A9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70" name="Line 330">
          <a:extLst>
            <a:ext uri="{FF2B5EF4-FFF2-40B4-BE49-F238E27FC236}">
              <a16:creationId xmlns:a16="http://schemas.microsoft.com/office/drawing/2014/main" id="{00000000-0008-0000-1100-0000AA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71" name="Line 135">
          <a:extLst>
            <a:ext uri="{FF2B5EF4-FFF2-40B4-BE49-F238E27FC236}">
              <a16:creationId xmlns:a16="http://schemas.microsoft.com/office/drawing/2014/main" id="{00000000-0008-0000-1100-0000AB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72" name="Line 612">
          <a:extLst>
            <a:ext uri="{FF2B5EF4-FFF2-40B4-BE49-F238E27FC236}">
              <a16:creationId xmlns:a16="http://schemas.microsoft.com/office/drawing/2014/main" id="{00000000-0008-0000-1100-0000AC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73" name="Line 330">
          <a:extLst>
            <a:ext uri="{FF2B5EF4-FFF2-40B4-BE49-F238E27FC236}">
              <a16:creationId xmlns:a16="http://schemas.microsoft.com/office/drawing/2014/main" id="{00000000-0008-0000-1100-0000AD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74" name="Line 135">
          <a:extLst>
            <a:ext uri="{FF2B5EF4-FFF2-40B4-BE49-F238E27FC236}">
              <a16:creationId xmlns:a16="http://schemas.microsoft.com/office/drawing/2014/main" id="{00000000-0008-0000-1100-0000AE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75" name="Line 612">
          <a:extLst>
            <a:ext uri="{FF2B5EF4-FFF2-40B4-BE49-F238E27FC236}">
              <a16:creationId xmlns:a16="http://schemas.microsoft.com/office/drawing/2014/main" id="{00000000-0008-0000-1100-0000AF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12700</xdr:colOff>
      <xdr:row>24</xdr:row>
      <xdr:rowOff>0</xdr:rowOff>
    </xdr:from>
    <xdr:to>
      <xdr:col>2</xdr:col>
      <xdr:colOff>12700</xdr:colOff>
      <xdr:row>24</xdr:row>
      <xdr:rowOff>0</xdr:rowOff>
    </xdr:to>
    <xdr:sp macro="" textlink="">
      <xdr:nvSpPr>
        <xdr:cNvPr id="2580663" name="Line 135">
          <a:extLst>
            <a:ext uri="{FF2B5EF4-FFF2-40B4-BE49-F238E27FC236}">
              <a16:creationId xmlns:a16="http://schemas.microsoft.com/office/drawing/2014/main" id="{00000000-0008-0000-1200-0000B7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664" name="Line 331">
          <a:extLst>
            <a:ext uri="{FF2B5EF4-FFF2-40B4-BE49-F238E27FC236}">
              <a16:creationId xmlns:a16="http://schemas.microsoft.com/office/drawing/2014/main" id="{00000000-0008-0000-1200-0000B8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665" name="Line 135">
          <a:extLst>
            <a:ext uri="{FF2B5EF4-FFF2-40B4-BE49-F238E27FC236}">
              <a16:creationId xmlns:a16="http://schemas.microsoft.com/office/drawing/2014/main" id="{00000000-0008-0000-1200-0000B9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666" name="Line 330">
          <a:extLst>
            <a:ext uri="{FF2B5EF4-FFF2-40B4-BE49-F238E27FC236}">
              <a16:creationId xmlns:a16="http://schemas.microsoft.com/office/drawing/2014/main" id="{00000000-0008-0000-1200-0000BA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667" name="Line 330">
          <a:extLst>
            <a:ext uri="{FF2B5EF4-FFF2-40B4-BE49-F238E27FC236}">
              <a16:creationId xmlns:a16="http://schemas.microsoft.com/office/drawing/2014/main" id="{00000000-0008-0000-1200-0000BB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80668" name="Line 4">
          <a:extLst>
            <a:ext uri="{FF2B5EF4-FFF2-40B4-BE49-F238E27FC236}">
              <a16:creationId xmlns:a16="http://schemas.microsoft.com/office/drawing/2014/main" id="{00000000-0008-0000-1200-0000BC602700}"/>
            </a:ext>
          </a:extLst>
        </xdr:cNvPr>
        <xdr:cNvSpPr>
          <a:spLocks noChangeShapeType="1"/>
        </xdr:cNvSpPr>
      </xdr:nvSpPr>
      <xdr:spPr bwMode="auto">
        <a:xfrm>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80669" name="Line 5">
          <a:extLst>
            <a:ext uri="{FF2B5EF4-FFF2-40B4-BE49-F238E27FC236}">
              <a16:creationId xmlns:a16="http://schemas.microsoft.com/office/drawing/2014/main" id="{00000000-0008-0000-1200-0000BD602700}"/>
            </a:ext>
          </a:extLst>
        </xdr:cNvPr>
        <xdr:cNvSpPr>
          <a:spLocks noChangeShapeType="1"/>
        </xdr:cNvSpPr>
      </xdr:nvSpPr>
      <xdr:spPr bwMode="auto">
        <a:xfrm flipV="1">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80670" name="Line 8">
          <a:extLst>
            <a:ext uri="{FF2B5EF4-FFF2-40B4-BE49-F238E27FC236}">
              <a16:creationId xmlns:a16="http://schemas.microsoft.com/office/drawing/2014/main" id="{00000000-0008-0000-1200-0000BE60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80671" name="Line 9">
          <a:extLst>
            <a:ext uri="{FF2B5EF4-FFF2-40B4-BE49-F238E27FC236}">
              <a16:creationId xmlns:a16="http://schemas.microsoft.com/office/drawing/2014/main" id="{00000000-0008-0000-1200-0000BF60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80672" name="Line 10">
          <a:extLst>
            <a:ext uri="{FF2B5EF4-FFF2-40B4-BE49-F238E27FC236}">
              <a16:creationId xmlns:a16="http://schemas.microsoft.com/office/drawing/2014/main" id="{00000000-0008-0000-1200-0000C060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80673" name="Line 11">
          <a:extLst>
            <a:ext uri="{FF2B5EF4-FFF2-40B4-BE49-F238E27FC236}">
              <a16:creationId xmlns:a16="http://schemas.microsoft.com/office/drawing/2014/main" id="{00000000-0008-0000-1200-0000C160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80674" name="Line 20">
          <a:extLst>
            <a:ext uri="{FF2B5EF4-FFF2-40B4-BE49-F238E27FC236}">
              <a16:creationId xmlns:a16="http://schemas.microsoft.com/office/drawing/2014/main" id="{00000000-0008-0000-1200-0000C260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80675" name="Line 21">
          <a:extLst>
            <a:ext uri="{FF2B5EF4-FFF2-40B4-BE49-F238E27FC236}">
              <a16:creationId xmlns:a16="http://schemas.microsoft.com/office/drawing/2014/main" id="{00000000-0008-0000-1200-0000C360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80676" name="Line 22">
          <a:extLst>
            <a:ext uri="{FF2B5EF4-FFF2-40B4-BE49-F238E27FC236}">
              <a16:creationId xmlns:a16="http://schemas.microsoft.com/office/drawing/2014/main" id="{00000000-0008-0000-1200-0000C460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80677" name="Line 23">
          <a:extLst>
            <a:ext uri="{FF2B5EF4-FFF2-40B4-BE49-F238E27FC236}">
              <a16:creationId xmlns:a16="http://schemas.microsoft.com/office/drawing/2014/main" id="{00000000-0008-0000-1200-0000C560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80678" name="Line 26">
          <a:extLst>
            <a:ext uri="{FF2B5EF4-FFF2-40B4-BE49-F238E27FC236}">
              <a16:creationId xmlns:a16="http://schemas.microsoft.com/office/drawing/2014/main" id="{00000000-0008-0000-1200-0000C660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80679" name="Line 27">
          <a:extLst>
            <a:ext uri="{FF2B5EF4-FFF2-40B4-BE49-F238E27FC236}">
              <a16:creationId xmlns:a16="http://schemas.microsoft.com/office/drawing/2014/main" id="{00000000-0008-0000-1200-0000C760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80680" name="Line 28">
          <a:extLst>
            <a:ext uri="{FF2B5EF4-FFF2-40B4-BE49-F238E27FC236}">
              <a16:creationId xmlns:a16="http://schemas.microsoft.com/office/drawing/2014/main" id="{00000000-0008-0000-1200-0000C860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80681" name="Line 29">
          <a:extLst>
            <a:ext uri="{FF2B5EF4-FFF2-40B4-BE49-F238E27FC236}">
              <a16:creationId xmlns:a16="http://schemas.microsoft.com/office/drawing/2014/main" id="{00000000-0008-0000-1200-0000C9602700}"/>
            </a:ext>
          </a:extLst>
        </xdr:cNvPr>
        <xdr:cNvSpPr>
          <a:spLocks noChangeShapeType="1"/>
        </xdr:cNvSpPr>
      </xdr:nvSpPr>
      <xdr:spPr bwMode="auto">
        <a:xfrm>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80682" name="Line 30">
          <a:extLst>
            <a:ext uri="{FF2B5EF4-FFF2-40B4-BE49-F238E27FC236}">
              <a16:creationId xmlns:a16="http://schemas.microsoft.com/office/drawing/2014/main" id="{00000000-0008-0000-1200-0000CA602700}"/>
            </a:ext>
          </a:extLst>
        </xdr:cNvPr>
        <xdr:cNvSpPr>
          <a:spLocks noChangeShapeType="1"/>
        </xdr:cNvSpPr>
      </xdr:nvSpPr>
      <xdr:spPr bwMode="auto">
        <a:xfrm flipV="1">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80683" name="Line 31">
          <a:extLst>
            <a:ext uri="{FF2B5EF4-FFF2-40B4-BE49-F238E27FC236}">
              <a16:creationId xmlns:a16="http://schemas.microsoft.com/office/drawing/2014/main" id="{00000000-0008-0000-1200-0000CB602700}"/>
            </a:ext>
          </a:extLst>
        </xdr:cNvPr>
        <xdr:cNvSpPr>
          <a:spLocks noChangeShapeType="1"/>
        </xdr:cNvSpPr>
      </xdr:nvSpPr>
      <xdr:spPr bwMode="auto">
        <a:xfrm>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80684" name="Line 32">
          <a:extLst>
            <a:ext uri="{FF2B5EF4-FFF2-40B4-BE49-F238E27FC236}">
              <a16:creationId xmlns:a16="http://schemas.microsoft.com/office/drawing/2014/main" id="{00000000-0008-0000-1200-0000CC60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80685" name="Line 33">
          <a:extLst>
            <a:ext uri="{FF2B5EF4-FFF2-40B4-BE49-F238E27FC236}">
              <a16:creationId xmlns:a16="http://schemas.microsoft.com/office/drawing/2014/main" id="{00000000-0008-0000-1200-0000CD60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80686" name="Line 34">
          <a:extLst>
            <a:ext uri="{FF2B5EF4-FFF2-40B4-BE49-F238E27FC236}">
              <a16:creationId xmlns:a16="http://schemas.microsoft.com/office/drawing/2014/main" id="{00000000-0008-0000-1200-0000CE60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80687" name="Line 35">
          <a:extLst>
            <a:ext uri="{FF2B5EF4-FFF2-40B4-BE49-F238E27FC236}">
              <a16:creationId xmlns:a16="http://schemas.microsoft.com/office/drawing/2014/main" id="{00000000-0008-0000-1200-0000CF60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27</xdr:row>
      <xdr:rowOff>0</xdr:rowOff>
    </xdr:to>
    <xdr:sp macro="" textlink="">
      <xdr:nvSpPr>
        <xdr:cNvPr id="2580688" name="Line 36">
          <a:extLst>
            <a:ext uri="{FF2B5EF4-FFF2-40B4-BE49-F238E27FC236}">
              <a16:creationId xmlns:a16="http://schemas.microsoft.com/office/drawing/2014/main" id="{00000000-0008-0000-1200-0000D060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80689" name="Line 38">
          <a:extLst>
            <a:ext uri="{FF2B5EF4-FFF2-40B4-BE49-F238E27FC236}">
              <a16:creationId xmlns:a16="http://schemas.microsoft.com/office/drawing/2014/main" id="{00000000-0008-0000-1200-0000D1602700}"/>
            </a:ext>
          </a:extLst>
        </xdr:cNvPr>
        <xdr:cNvSpPr>
          <a:spLocks noChangeShapeType="1"/>
        </xdr:cNvSpPr>
      </xdr:nvSpPr>
      <xdr:spPr bwMode="auto">
        <a:xfrm flipV="1">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80690" name="Line 39">
          <a:extLst>
            <a:ext uri="{FF2B5EF4-FFF2-40B4-BE49-F238E27FC236}">
              <a16:creationId xmlns:a16="http://schemas.microsoft.com/office/drawing/2014/main" id="{00000000-0008-0000-1200-0000D2602700}"/>
            </a:ext>
          </a:extLst>
        </xdr:cNvPr>
        <xdr:cNvSpPr>
          <a:spLocks noChangeShapeType="1"/>
        </xdr:cNvSpPr>
      </xdr:nvSpPr>
      <xdr:spPr bwMode="auto">
        <a:xfrm>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80691" name="Line 40">
          <a:extLst>
            <a:ext uri="{FF2B5EF4-FFF2-40B4-BE49-F238E27FC236}">
              <a16:creationId xmlns:a16="http://schemas.microsoft.com/office/drawing/2014/main" id="{00000000-0008-0000-1200-0000D3602700}"/>
            </a:ext>
          </a:extLst>
        </xdr:cNvPr>
        <xdr:cNvSpPr>
          <a:spLocks noChangeShapeType="1"/>
        </xdr:cNvSpPr>
      </xdr:nvSpPr>
      <xdr:spPr bwMode="auto">
        <a:xfrm flipV="1">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80692" name="Line 41">
          <a:extLst>
            <a:ext uri="{FF2B5EF4-FFF2-40B4-BE49-F238E27FC236}">
              <a16:creationId xmlns:a16="http://schemas.microsoft.com/office/drawing/2014/main" id="{00000000-0008-0000-1200-0000D460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80693" name="Line 42">
          <a:extLst>
            <a:ext uri="{FF2B5EF4-FFF2-40B4-BE49-F238E27FC236}">
              <a16:creationId xmlns:a16="http://schemas.microsoft.com/office/drawing/2014/main" id="{00000000-0008-0000-1200-0000D5602700}"/>
            </a:ext>
          </a:extLst>
        </xdr:cNvPr>
        <xdr:cNvSpPr>
          <a:spLocks noChangeShapeType="1"/>
        </xdr:cNvSpPr>
      </xdr:nvSpPr>
      <xdr:spPr bwMode="auto">
        <a:xfrm flipV="1">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80694" name="Line 43">
          <a:extLst>
            <a:ext uri="{FF2B5EF4-FFF2-40B4-BE49-F238E27FC236}">
              <a16:creationId xmlns:a16="http://schemas.microsoft.com/office/drawing/2014/main" id="{00000000-0008-0000-1200-0000D6602700}"/>
            </a:ext>
          </a:extLst>
        </xdr:cNvPr>
        <xdr:cNvSpPr>
          <a:spLocks noChangeShapeType="1"/>
        </xdr:cNvSpPr>
      </xdr:nvSpPr>
      <xdr:spPr bwMode="auto">
        <a:xfrm>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80695" name="Line 44">
          <a:extLst>
            <a:ext uri="{FF2B5EF4-FFF2-40B4-BE49-F238E27FC236}">
              <a16:creationId xmlns:a16="http://schemas.microsoft.com/office/drawing/2014/main" id="{00000000-0008-0000-1200-0000D7602700}"/>
            </a:ext>
          </a:extLst>
        </xdr:cNvPr>
        <xdr:cNvSpPr>
          <a:spLocks noChangeShapeType="1"/>
        </xdr:cNvSpPr>
      </xdr:nvSpPr>
      <xdr:spPr bwMode="auto">
        <a:xfrm flipV="1">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80696" name="Line 45">
          <a:extLst>
            <a:ext uri="{FF2B5EF4-FFF2-40B4-BE49-F238E27FC236}">
              <a16:creationId xmlns:a16="http://schemas.microsoft.com/office/drawing/2014/main" id="{00000000-0008-0000-1200-0000D8602700}"/>
            </a:ext>
          </a:extLst>
        </xdr:cNvPr>
        <xdr:cNvSpPr>
          <a:spLocks noChangeShapeType="1"/>
        </xdr:cNvSpPr>
      </xdr:nvSpPr>
      <xdr:spPr bwMode="auto">
        <a:xfrm>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80697" name="Line 46">
          <a:extLst>
            <a:ext uri="{FF2B5EF4-FFF2-40B4-BE49-F238E27FC236}">
              <a16:creationId xmlns:a16="http://schemas.microsoft.com/office/drawing/2014/main" id="{00000000-0008-0000-1200-0000D960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80698" name="Line 47">
          <a:extLst>
            <a:ext uri="{FF2B5EF4-FFF2-40B4-BE49-F238E27FC236}">
              <a16:creationId xmlns:a16="http://schemas.microsoft.com/office/drawing/2014/main" id="{00000000-0008-0000-1200-0000DA60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80699" name="Line 49">
          <a:extLst>
            <a:ext uri="{FF2B5EF4-FFF2-40B4-BE49-F238E27FC236}">
              <a16:creationId xmlns:a16="http://schemas.microsoft.com/office/drawing/2014/main" id="{00000000-0008-0000-1200-0000DB60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80700" name="Line 50">
          <a:extLst>
            <a:ext uri="{FF2B5EF4-FFF2-40B4-BE49-F238E27FC236}">
              <a16:creationId xmlns:a16="http://schemas.microsoft.com/office/drawing/2014/main" id="{00000000-0008-0000-1200-0000DC60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80701" name="Line 51">
          <a:extLst>
            <a:ext uri="{FF2B5EF4-FFF2-40B4-BE49-F238E27FC236}">
              <a16:creationId xmlns:a16="http://schemas.microsoft.com/office/drawing/2014/main" id="{00000000-0008-0000-1200-0000DD60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80702" name="Line 52">
          <a:extLst>
            <a:ext uri="{FF2B5EF4-FFF2-40B4-BE49-F238E27FC236}">
              <a16:creationId xmlns:a16="http://schemas.microsoft.com/office/drawing/2014/main" id="{00000000-0008-0000-1200-0000DE60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80703" name="Line 53">
          <a:extLst>
            <a:ext uri="{FF2B5EF4-FFF2-40B4-BE49-F238E27FC236}">
              <a16:creationId xmlns:a16="http://schemas.microsoft.com/office/drawing/2014/main" id="{00000000-0008-0000-1200-0000DF602700}"/>
            </a:ext>
          </a:extLst>
        </xdr:cNvPr>
        <xdr:cNvSpPr>
          <a:spLocks noChangeShapeType="1"/>
        </xdr:cNvSpPr>
      </xdr:nvSpPr>
      <xdr:spPr bwMode="auto">
        <a:xfrm flipV="1">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80704" name="Line 54">
          <a:extLst>
            <a:ext uri="{FF2B5EF4-FFF2-40B4-BE49-F238E27FC236}">
              <a16:creationId xmlns:a16="http://schemas.microsoft.com/office/drawing/2014/main" id="{00000000-0008-0000-1200-0000E0602700}"/>
            </a:ext>
          </a:extLst>
        </xdr:cNvPr>
        <xdr:cNvSpPr>
          <a:spLocks noChangeShapeType="1"/>
        </xdr:cNvSpPr>
      </xdr:nvSpPr>
      <xdr:spPr bwMode="auto">
        <a:xfrm>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80705" name="Line 58">
          <a:extLst>
            <a:ext uri="{FF2B5EF4-FFF2-40B4-BE49-F238E27FC236}">
              <a16:creationId xmlns:a16="http://schemas.microsoft.com/office/drawing/2014/main" id="{00000000-0008-0000-1200-0000E160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80706" name="Line 59">
          <a:extLst>
            <a:ext uri="{FF2B5EF4-FFF2-40B4-BE49-F238E27FC236}">
              <a16:creationId xmlns:a16="http://schemas.microsoft.com/office/drawing/2014/main" id="{00000000-0008-0000-1200-0000E260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80707" name="Line 129">
          <a:extLst>
            <a:ext uri="{FF2B5EF4-FFF2-40B4-BE49-F238E27FC236}">
              <a16:creationId xmlns:a16="http://schemas.microsoft.com/office/drawing/2014/main" id="{00000000-0008-0000-1200-0000E3602700}"/>
            </a:ext>
          </a:extLst>
        </xdr:cNvPr>
        <xdr:cNvSpPr>
          <a:spLocks noChangeShapeType="1"/>
        </xdr:cNvSpPr>
      </xdr:nvSpPr>
      <xdr:spPr bwMode="auto">
        <a:xfrm flipV="1">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80708" name="Line 130">
          <a:extLst>
            <a:ext uri="{FF2B5EF4-FFF2-40B4-BE49-F238E27FC236}">
              <a16:creationId xmlns:a16="http://schemas.microsoft.com/office/drawing/2014/main" id="{00000000-0008-0000-1200-0000E4602700}"/>
            </a:ext>
          </a:extLst>
        </xdr:cNvPr>
        <xdr:cNvSpPr>
          <a:spLocks noChangeShapeType="1"/>
        </xdr:cNvSpPr>
      </xdr:nvSpPr>
      <xdr:spPr bwMode="auto">
        <a:xfrm>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80709" name="Line 131">
          <a:extLst>
            <a:ext uri="{FF2B5EF4-FFF2-40B4-BE49-F238E27FC236}">
              <a16:creationId xmlns:a16="http://schemas.microsoft.com/office/drawing/2014/main" id="{00000000-0008-0000-1200-0000E560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80710" name="Line 132">
          <a:extLst>
            <a:ext uri="{FF2B5EF4-FFF2-40B4-BE49-F238E27FC236}">
              <a16:creationId xmlns:a16="http://schemas.microsoft.com/office/drawing/2014/main" id="{00000000-0008-0000-1200-0000E660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80711" name="Line 133">
          <a:extLst>
            <a:ext uri="{FF2B5EF4-FFF2-40B4-BE49-F238E27FC236}">
              <a16:creationId xmlns:a16="http://schemas.microsoft.com/office/drawing/2014/main" id="{00000000-0008-0000-1200-0000E760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80712" name="Line 134">
          <a:extLst>
            <a:ext uri="{FF2B5EF4-FFF2-40B4-BE49-F238E27FC236}">
              <a16:creationId xmlns:a16="http://schemas.microsoft.com/office/drawing/2014/main" id="{00000000-0008-0000-1200-0000E860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13" name="Line 135">
          <a:extLst>
            <a:ext uri="{FF2B5EF4-FFF2-40B4-BE49-F238E27FC236}">
              <a16:creationId xmlns:a16="http://schemas.microsoft.com/office/drawing/2014/main" id="{00000000-0008-0000-1200-0000E9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24</xdr:row>
      <xdr:rowOff>0</xdr:rowOff>
    </xdr:to>
    <xdr:sp macro="" textlink="">
      <xdr:nvSpPr>
        <xdr:cNvPr id="2580714" name="Line 136">
          <a:extLst>
            <a:ext uri="{FF2B5EF4-FFF2-40B4-BE49-F238E27FC236}">
              <a16:creationId xmlns:a16="http://schemas.microsoft.com/office/drawing/2014/main" id="{00000000-0008-0000-1200-0000EA60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80715" name="Line 141">
          <a:extLst>
            <a:ext uri="{FF2B5EF4-FFF2-40B4-BE49-F238E27FC236}">
              <a16:creationId xmlns:a16="http://schemas.microsoft.com/office/drawing/2014/main" id="{00000000-0008-0000-1200-0000EB602700}"/>
            </a:ext>
          </a:extLst>
        </xdr:cNvPr>
        <xdr:cNvSpPr>
          <a:spLocks noChangeShapeType="1"/>
        </xdr:cNvSpPr>
      </xdr:nvSpPr>
      <xdr:spPr bwMode="auto">
        <a:xfrm flipV="1">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80716" name="Line 142">
          <a:extLst>
            <a:ext uri="{FF2B5EF4-FFF2-40B4-BE49-F238E27FC236}">
              <a16:creationId xmlns:a16="http://schemas.microsoft.com/office/drawing/2014/main" id="{00000000-0008-0000-1200-0000EC602700}"/>
            </a:ext>
          </a:extLst>
        </xdr:cNvPr>
        <xdr:cNvSpPr>
          <a:spLocks noChangeShapeType="1"/>
        </xdr:cNvSpPr>
      </xdr:nvSpPr>
      <xdr:spPr bwMode="auto">
        <a:xfrm>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17" name="Line 612">
          <a:extLst>
            <a:ext uri="{FF2B5EF4-FFF2-40B4-BE49-F238E27FC236}">
              <a16:creationId xmlns:a16="http://schemas.microsoft.com/office/drawing/2014/main" id="{00000000-0008-0000-1200-0000ED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0</xdr:col>
      <xdr:colOff>0</xdr:colOff>
      <xdr:row>6</xdr:row>
      <xdr:rowOff>0</xdr:rowOff>
    </xdr:from>
    <xdr:to>
      <xdr:col>3</xdr:col>
      <xdr:colOff>0</xdr:colOff>
      <xdr:row>7</xdr:row>
      <xdr:rowOff>0</xdr:rowOff>
    </xdr:to>
    <xdr:sp macro="" textlink="">
      <xdr:nvSpPr>
        <xdr:cNvPr id="434734" name="Text Box 5678">
          <a:hlinkClick xmlns:r="http://schemas.openxmlformats.org/officeDocument/2006/relationships" r:id="rId1"/>
          <a:extLst>
            <a:ext uri="{FF2B5EF4-FFF2-40B4-BE49-F238E27FC236}">
              <a16:creationId xmlns:a16="http://schemas.microsoft.com/office/drawing/2014/main" id="{00000000-0008-0000-1200-00002EA20600}"/>
            </a:ext>
          </a:extLst>
        </xdr:cNvPr>
        <xdr:cNvSpPr txBox="1">
          <a:spLocks noChangeArrowheads="1"/>
        </xdr:cNvSpPr>
      </xdr:nvSpPr>
      <xdr:spPr bwMode="auto">
        <a:xfrm>
          <a:off x="0" y="774700"/>
          <a:ext cx="1714500" cy="2794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zur Startseite</a:t>
          </a:r>
        </a:p>
      </xdr:txBody>
    </xdr:sp>
    <xdr:clientData fPrintsWithSheet="0"/>
  </xdr:twoCellAnchor>
  <xdr:twoCellAnchor>
    <xdr:from>
      <xdr:col>0</xdr:col>
      <xdr:colOff>0</xdr:colOff>
      <xdr:row>8</xdr:row>
      <xdr:rowOff>0</xdr:rowOff>
    </xdr:from>
    <xdr:to>
      <xdr:col>3</xdr:col>
      <xdr:colOff>0</xdr:colOff>
      <xdr:row>9</xdr:row>
      <xdr:rowOff>0</xdr:rowOff>
    </xdr:to>
    <xdr:sp macro="" textlink="">
      <xdr:nvSpPr>
        <xdr:cNvPr id="434735" name="Text Box 5679">
          <a:hlinkClick xmlns:r="http://schemas.openxmlformats.org/officeDocument/2006/relationships" r:id="rId2"/>
          <a:extLst>
            <a:ext uri="{FF2B5EF4-FFF2-40B4-BE49-F238E27FC236}">
              <a16:creationId xmlns:a16="http://schemas.microsoft.com/office/drawing/2014/main" id="{00000000-0008-0000-1200-00002FA20600}"/>
            </a:ext>
          </a:extLst>
        </xdr:cNvPr>
        <xdr:cNvSpPr txBox="1">
          <a:spLocks noChangeArrowheads="1"/>
        </xdr:cNvSpPr>
      </xdr:nvSpPr>
      <xdr:spPr bwMode="auto">
        <a:xfrm>
          <a:off x="0" y="13335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 weiter &gt;</a:t>
          </a:r>
        </a:p>
      </xdr:txBody>
    </xdr:sp>
    <xdr:clientData fPrintsWithSheet="0"/>
  </xdr:twoCellAnchor>
  <xdr:twoCellAnchor>
    <xdr:from>
      <xdr:col>0</xdr:col>
      <xdr:colOff>0</xdr:colOff>
      <xdr:row>10</xdr:row>
      <xdr:rowOff>0</xdr:rowOff>
    </xdr:from>
    <xdr:to>
      <xdr:col>3</xdr:col>
      <xdr:colOff>0</xdr:colOff>
      <xdr:row>11</xdr:row>
      <xdr:rowOff>0</xdr:rowOff>
    </xdr:to>
    <xdr:sp macro="" textlink="">
      <xdr:nvSpPr>
        <xdr:cNvPr id="434736" name="Text Box 5680">
          <a:hlinkClick xmlns:r="http://schemas.openxmlformats.org/officeDocument/2006/relationships" r:id="rId3"/>
          <a:extLst>
            <a:ext uri="{FF2B5EF4-FFF2-40B4-BE49-F238E27FC236}">
              <a16:creationId xmlns:a16="http://schemas.microsoft.com/office/drawing/2014/main" id="{00000000-0008-0000-1200-000030A20600}"/>
            </a:ext>
          </a:extLst>
        </xdr:cNvPr>
        <xdr:cNvSpPr txBox="1">
          <a:spLocks noChangeArrowheads="1"/>
        </xdr:cNvSpPr>
      </xdr:nvSpPr>
      <xdr:spPr bwMode="auto">
        <a:xfrm>
          <a:off x="0" y="18923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&lt; zurück</a:t>
          </a:r>
        </a:p>
      </xdr:txBody>
    </xdr:sp>
    <xdr:clientData fPrintsWithSheet="0"/>
  </xdr:twoCellAnchor>
  <xdr:twoCellAnchor>
    <xdr:from>
      <xdr:col>1</xdr:col>
      <xdr:colOff>12700</xdr:colOff>
      <xdr:row>24</xdr:row>
      <xdr:rowOff>0</xdr:rowOff>
    </xdr:from>
    <xdr:to>
      <xdr:col>2</xdr:col>
      <xdr:colOff>12700</xdr:colOff>
      <xdr:row>24</xdr:row>
      <xdr:rowOff>0</xdr:rowOff>
    </xdr:to>
    <xdr:sp macro="" textlink="">
      <xdr:nvSpPr>
        <xdr:cNvPr id="2580721" name="Line 135">
          <a:extLst>
            <a:ext uri="{FF2B5EF4-FFF2-40B4-BE49-F238E27FC236}">
              <a16:creationId xmlns:a16="http://schemas.microsoft.com/office/drawing/2014/main" id="{00000000-0008-0000-1200-0000F1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22" name="Line 330">
          <a:extLst>
            <a:ext uri="{FF2B5EF4-FFF2-40B4-BE49-F238E27FC236}">
              <a16:creationId xmlns:a16="http://schemas.microsoft.com/office/drawing/2014/main" id="{00000000-0008-0000-1200-0000F2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23" name="Line 135">
          <a:extLst>
            <a:ext uri="{FF2B5EF4-FFF2-40B4-BE49-F238E27FC236}">
              <a16:creationId xmlns:a16="http://schemas.microsoft.com/office/drawing/2014/main" id="{00000000-0008-0000-1200-0000F3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24" name="Line 330">
          <a:extLst>
            <a:ext uri="{FF2B5EF4-FFF2-40B4-BE49-F238E27FC236}">
              <a16:creationId xmlns:a16="http://schemas.microsoft.com/office/drawing/2014/main" id="{00000000-0008-0000-1200-0000F4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25" name="Line 330">
          <a:extLst>
            <a:ext uri="{FF2B5EF4-FFF2-40B4-BE49-F238E27FC236}">
              <a16:creationId xmlns:a16="http://schemas.microsoft.com/office/drawing/2014/main" id="{00000000-0008-0000-1200-0000F5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26" name="Line 135">
          <a:extLst>
            <a:ext uri="{FF2B5EF4-FFF2-40B4-BE49-F238E27FC236}">
              <a16:creationId xmlns:a16="http://schemas.microsoft.com/office/drawing/2014/main" id="{00000000-0008-0000-1200-0000F6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27" name="Line 612">
          <a:extLst>
            <a:ext uri="{FF2B5EF4-FFF2-40B4-BE49-F238E27FC236}">
              <a16:creationId xmlns:a16="http://schemas.microsoft.com/office/drawing/2014/main" id="{00000000-0008-0000-1200-0000F7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28" name="Line 135">
          <a:extLst>
            <a:ext uri="{FF2B5EF4-FFF2-40B4-BE49-F238E27FC236}">
              <a16:creationId xmlns:a16="http://schemas.microsoft.com/office/drawing/2014/main" id="{00000000-0008-0000-1200-0000F8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29" name="Line 331">
          <a:extLst>
            <a:ext uri="{FF2B5EF4-FFF2-40B4-BE49-F238E27FC236}">
              <a16:creationId xmlns:a16="http://schemas.microsoft.com/office/drawing/2014/main" id="{00000000-0008-0000-1200-0000F9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30" name="Line 135">
          <a:extLst>
            <a:ext uri="{FF2B5EF4-FFF2-40B4-BE49-F238E27FC236}">
              <a16:creationId xmlns:a16="http://schemas.microsoft.com/office/drawing/2014/main" id="{00000000-0008-0000-1200-0000FA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31" name="Line 330">
          <a:extLst>
            <a:ext uri="{FF2B5EF4-FFF2-40B4-BE49-F238E27FC236}">
              <a16:creationId xmlns:a16="http://schemas.microsoft.com/office/drawing/2014/main" id="{00000000-0008-0000-1200-0000FB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32" name="Line 330">
          <a:extLst>
            <a:ext uri="{FF2B5EF4-FFF2-40B4-BE49-F238E27FC236}">
              <a16:creationId xmlns:a16="http://schemas.microsoft.com/office/drawing/2014/main" id="{00000000-0008-0000-1200-0000FC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33" name="Line 135">
          <a:extLst>
            <a:ext uri="{FF2B5EF4-FFF2-40B4-BE49-F238E27FC236}">
              <a16:creationId xmlns:a16="http://schemas.microsoft.com/office/drawing/2014/main" id="{00000000-0008-0000-1200-0000FD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34" name="Line 612">
          <a:extLst>
            <a:ext uri="{FF2B5EF4-FFF2-40B4-BE49-F238E27FC236}">
              <a16:creationId xmlns:a16="http://schemas.microsoft.com/office/drawing/2014/main" id="{00000000-0008-0000-1200-0000FE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35" name="Line 135">
          <a:extLst>
            <a:ext uri="{FF2B5EF4-FFF2-40B4-BE49-F238E27FC236}">
              <a16:creationId xmlns:a16="http://schemas.microsoft.com/office/drawing/2014/main" id="{00000000-0008-0000-1200-0000FF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36" name="Line 330">
          <a:extLst>
            <a:ext uri="{FF2B5EF4-FFF2-40B4-BE49-F238E27FC236}">
              <a16:creationId xmlns:a16="http://schemas.microsoft.com/office/drawing/2014/main" id="{00000000-0008-0000-1200-000000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37" name="Line 135">
          <a:extLst>
            <a:ext uri="{FF2B5EF4-FFF2-40B4-BE49-F238E27FC236}">
              <a16:creationId xmlns:a16="http://schemas.microsoft.com/office/drawing/2014/main" id="{00000000-0008-0000-1200-000001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38" name="Line 330">
          <a:extLst>
            <a:ext uri="{FF2B5EF4-FFF2-40B4-BE49-F238E27FC236}">
              <a16:creationId xmlns:a16="http://schemas.microsoft.com/office/drawing/2014/main" id="{00000000-0008-0000-1200-000002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39" name="Line 330">
          <a:extLst>
            <a:ext uri="{FF2B5EF4-FFF2-40B4-BE49-F238E27FC236}">
              <a16:creationId xmlns:a16="http://schemas.microsoft.com/office/drawing/2014/main" id="{00000000-0008-0000-1200-000003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40" name="Line 135">
          <a:extLst>
            <a:ext uri="{FF2B5EF4-FFF2-40B4-BE49-F238E27FC236}">
              <a16:creationId xmlns:a16="http://schemas.microsoft.com/office/drawing/2014/main" id="{00000000-0008-0000-1200-000004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41" name="Line 612">
          <a:extLst>
            <a:ext uri="{FF2B5EF4-FFF2-40B4-BE49-F238E27FC236}">
              <a16:creationId xmlns:a16="http://schemas.microsoft.com/office/drawing/2014/main" id="{00000000-0008-0000-1200-000005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42" name="Line 135">
          <a:extLst>
            <a:ext uri="{FF2B5EF4-FFF2-40B4-BE49-F238E27FC236}">
              <a16:creationId xmlns:a16="http://schemas.microsoft.com/office/drawing/2014/main" id="{00000000-0008-0000-1200-000006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43" name="Line 330">
          <a:extLst>
            <a:ext uri="{FF2B5EF4-FFF2-40B4-BE49-F238E27FC236}">
              <a16:creationId xmlns:a16="http://schemas.microsoft.com/office/drawing/2014/main" id="{00000000-0008-0000-1200-000007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44" name="Line 330">
          <a:extLst>
            <a:ext uri="{FF2B5EF4-FFF2-40B4-BE49-F238E27FC236}">
              <a16:creationId xmlns:a16="http://schemas.microsoft.com/office/drawing/2014/main" id="{00000000-0008-0000-1200-000008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45" name="Line 135">
          <a:extLst>
            <a:ext uri="{FF2B5EF4-FFF2-40B4-BE49-F238E27FC236}">
              <a16:creationId xmlns:a16="http://schemas.microsoft.com/office/drawing/2014/main" id="{00000000-0008-0000-1200-000009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46" name="Line 612">
          <a:extLst>
            <a:ext uri="{FF2B5EF4-FFF2-40B4-BE49-F238E27FC236}">
              <a16:creationId xmlns:a16="http://schemas.microsoft.com/office/drawing/2014/main" id="{00000000-0008-0000-1200-00000A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47" name="Line 330">
          <a:extLst>
            <a:ext uri="{FF2B5EF4-FFF2-40B4-BE49-F238E27FC236}">
              <a16:creationId xmlns:a16="http://schemas.microsoft.com/office/drawing/2014/main" id="{00000000-0008-0000-1200-00000B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48" name="Line 135">
          <a:extLst>
            <a:ext uri="{FF2B5EF4-FFF2-40B4-BE49-F238E27FC236}">
              <a16:creationId xmlns:a16="http://schemas.microsoft.com/office/drawing/2014/main" id="{00000000-0008-0000-1200-00000C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49" name="Line 612">
          <a:extLst>
            <a:ext uri="{FF2B5EF4-FFF2-40B4-BE49-F238E27FC236}">
              <a16:creationId xmlns:a16="http://schemas.microsoft.com/office/drawing/2014/main" id="{00000000-0008-0000-1200-00000D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177800</xdr:colOff>
      <xdr:row>1</xdr:row>
      <xdr:rowOff>25400</xdr:rowOff>
    </xdr:from>
    <xdr:to>
      <xdr:col>12</xdr:col>
      <xdr:colOff>165100</xdr:colOff>
      <xdr:row>12</xdr:row>
      <xdr:rowOff>76200</xdr:rowOff>
    </xdr:to>
    <xdr:grpSp>
      <xdr:nvGrpSpPr>
        <xdr:cNvPr id="2386779" name="Gruppierung 27">
          <a:hlinkClick xmlns:r="http://schemas.openxmlformats.org/officeDocument/2006/relationships" r:id="rId1"/>
          <a:extLst>
            <a:ext uri="{FF2B5EF4-FFF2-40B4-BE49-F238E27FC236}">
              <a16:creationId xmlns:a16="http://schemas.microsoft.com/office/drawing/2014/main" id="{00000000-0008-0000-0100-00005B6B2400}"/>
            </a:ext>
          </a:extLst>
        </xdr:cNvPr>
        <xdr:cNvGrpSpPr>
          <a:grpSpLocks/>
        </xdr:cNvGrpSpPr>
      </xdr:nvGrpSpPr>
      <xdr:grpSpPr bwMode="auto">
        <a:xfrm>
          <a:off x="7035800" y="282575"/>
          <a:ext cx="2273300" cy="1870075"/>
          <a:chOff x="8001000" y="254000"/>
          <a:chExt cx="2616200" cy="1803400"/>
        </a:xfrm>
      </xdr:grpSpPr>
      <xdr:pic>
        <xdr:nvPicPr>
          <xdr:cNvPr id="2386803" name="Grafik 2" descr="ClearTime-Logo ohne Nummer Kopie">
            <a:extLst>
              <a:ext uri="{FF2B5EF4-FFF2-40B4-BE49-F238E27FC236}">
                <a16:creationId xmlns:a16="http://schemas.microsoft.com/office/drawing/2014/main" id="{00000000-0008-0000-0100-0000736B2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0" y="308926"/>
            <a:ext cx="2495789" cy="1748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feld 3">
            <a:extLst>
              <a:ext uri="{FF2B5EF4-FFF2-40B4-BE49-F238E27FC236}">
                <a16:creationId xmlns:a16="http://schemas.microsoft.com/office/drawing/2014/main" id="{00000000-0008-0000-0100-000004000000}"/>
              </a:ext>
            </a:extLst>
          </xdr:cNvPr>
          <xdr:cNvSpPr txBox="1"/>
        </xdr:nvSpPr>
        <xdr:spPr bwMode="auto">
          <a:xfrm>
            <a:off x="9131300" y="254000"/>
            <a:ext cx="1485900" cy="241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0">
              <a:defRPr sz="1000"/>
            </a:pPr>
            <a:r>
              <a:rPr lang="de-CH" sz="1100" b="1" i="0" u="none" strike="noStrike" baseline="0">
                <a:solidFill>
                  <a:srgbClr val="000000"/>
                </a:solidFill>
                <a:latin typeface="Arial"/>
                <a:cs typeface="Arial"/>
              </a:rPr>
              <a:t>Version 2012.A</a:t>
            </a:r>
          </a:p>
        </xdr:txBody>
      </xdr:sp>
    </xdr:grpSp>
    <xdr:clientData/>
  </xdr:twoCellAnchor>
  <xdr:twoCellAnchor>
    <xdr:from>
      <xdr:col>8</xdr:col>
      <xdr:colOff>838200</xdr:colOff>
      <xdr:row>15</xdr:row>
      <xdr:rowOff>142875</xdr:rowOff>
    </xdr:from>
    <xdr:to>
      <xdr:col>12</xdr:col>
      <xdr:colOff>362106</xdr:colOff>
      <xdr:row>33</xdr:row>
      <xdr:rowOff>120689</xdr:rowOff>
    </xdr:to>
    <xdr:sp macro="" textlink="">
      <xdr:nvSpPr>
        <xdr:cNvPr id="2386234" name="Textfeld 6">
          <a:extLst>
            <a:ext uri="{FF2B5EF4-FFF2-40B4-BE49-F238E27FC236}">
              <a16:creationId xmlns:a16="http://schemas.microsoft.com/office/drawing/2014/main" id="{00000000-0008-0000-0100-00003A692400}"/>
            </a:ext>
          </a:extLst>
        </xdr:cNvPr>
        <xdr:cNvSpPr txBox="1">
          <a:spLocks noChangeArrowheads="1"/>
        </xdr:cNvSpPr>
      </xdr:nvSpPr>
      <xdr:spPr bwMode="auto">
        <a:xfrm>
          <a:off x="6819900" y="2733675"/>
          <a:ext cx="2647950" cy="3209925"/>
        </a:xfrm>
        <a:prstGeom prst="rect">
          <a:avLst/>
        </a:prstGeom>
        <a:solidFill>
          <a:srgbClr val="C0C0C0"/>
        </a:solidFill>
        <a:ln w="9525">
          <a:solidFill>
            <a:srgbClr val="000000"/>
          </a:solidFill>
          <a:miter lim="800000"/>
          <a:headEnd/>
          <a:tailEnd/>
        </a:ln>
      </xdr:spPr>
      <xdr:txBody>
        <a:bodyPr vertOverflow="clip" wrap="square" lIns="91440" tIns="45720" rIns="91440" bIns="45720" anchor="t"/>
        <a:lstStyle/>
        <a:p>
          <a:pPr algn="l" rtl="0">
            <a:defRPr sz="1000"/>
          </a:pPr>
          <a:r>
            <a:rPr lang="de-CH" sz="1100" b="1" i="0" u="none" strike="noStrike" baseline="0">
              <a:solidFill>
                <a:srgbClr val="000000"/>
              </a:solidFill>
              <a:latin typeface="Calibri"/>
              <a:cs typeface="Calibri"/>
            </a:rPr>
            <a:t>Hinweise zur Programm-Bedienung:</a:t>
          </a:r>
        </a:p>
        <a:p>
          <a:pPr algn="l" rtl="0">
            <a:defRPr sz="1000"/>
          </a:pPr>
          <a:endParaRPr lang="de-CH" sz="1100" b="0" i="0" u="none" strike="noStrike" baseline="0">
            <a:solidFill>
              <a:srgbClr val="000000"/>
            </a:solidFill>
            <a:latin typeface="Calibri"/>
            <a:cs typeface="Calibri"/>
          </a:endParaRPr>
        </a:p>
        <a:p>
          <a:pPr algn="l" rtl="0">
            <a:defRPr sz="1000"/>
          </a:pPr>
          <a:r>
            <a:rPr lang="de-CH" sz="1100" b="0" i="0" u="none" strike="noStrike" baseline="0">
              <a:solidFill>
                <a:srgbClr val="000000"/>
              </a:solidFill>
              <a:latin typeface="Calibri"/>
              <a:cs typeface="Calibri"/>
            </a:rPr>
            <a:t>Mit Klicken auf die Farbflächen navigieren Sie durchs  Progamm.</a:t>
          </a:r>
        </a:p>
        <a:p>
          <a:pPr algn="l" rtl="0">
            <a:defRPr sz="1000"/>
          </a:pPr>
          <a:endParaRPr lang="de-CH" sz="1100" b="0" i="0" u="none" strike="noStrike" baseline="0">
            <a:solidFill>
              <a:srgbClr val="000000"/>
            </a:solidFill>
            <a:latin typeface="Calibri"/>
            <a:cs typeface="Calibri"/>
          </a:endParaRPr>
        </a:p>
        <a:p>
          <a:pPr algn="l" rtl="0">
            <a:defRPr sz="1000"/>
          </a:pPr>
          <a:r>
            <a:rPr lang="de-CH" sz="1100" b="0" i="0" u="none" strike="noStrike" baseline="0">
              <a:solidFill>
                <a:srgbClr val="000000"/>
              </a:solidFill>
              <a:latin typeface="Calibri"/>
              <a:cs typeface="Calibri"/>
            </a:rPr>
            <a:t>Alle hellgrün hinterlegte Flächen lassen eigene Eingaben zu. (</a:t>
          </a:r>
          <a:r>
            <a:rPr lang="de-CH" sz="1100" b="0" i="0" u="none" strike="noStrike" baseline="0">
              <a:solidFill>
                <a:srgbClr val="3366FF"/>
              </a:solidFill>
              <a:latin typeface="Calibri"/>
              <a:cs typeface="Calibri"/>
            </a:rPr>
            <a:t>Bestehende Einträge dienen zur Anregung und können überschrieben werden.</a:t>
          </a:r>
          <a:r>
            <a:rPr lang="de-CH" sz="1100" b="0" i="0" u="none" strike="noStrike" baseline="0">
              <a:solidFill>
                <a:srgbClr val="000000"/>
              </a:solidFill>
              <a:latin typeface="Calibri"/>
              <a:cs typeface="Calibri"/>
            </a:rPr>
            <a:t>)</a:t>
          </a:r>
        </a:p>
        <a:p>
          <a:pPr algn="l" rtl="0">
            <a:defRPr sz="1000"/>
          </a:pPr>
          <a:endParaRPr lang="de-CH" sz="1100" b="0" i="0" u="none" strike="noStrike" baseline="0">
            <a:solidFill>
              <a:srgbClr val="000000"/>
            </a:solidFill>
            <a:latin typeface="Calibri"/>
            <a:cs typeface="Calibri"/>
          </a:endParaRPr>
        </a:p>
        <a:p>
          <a:pPr algn="l" rtl="0">
            <a:defRPr sz="1000"/>
          </a:pPr>
          <a:r>
            <a:rPr lang="de-CH" sz="1100" b="0" i="0" u="none" strike="noStrike" baseline="0">
              <a:solidFill>
                <a:srgbClr val="000000"/>
              </a:solidFill>
              <a:latin typeface="Calibri"/>
              <a:cs typeface="Calibri"/>
            </a:rPr>
            <a:t>Zeitangaben müssen in Stunden und Minuten erfolgen, getrennt durch einen Doppelpunkt (z.B. 8:35).</a:t>
          </a:r>
        </a:p>
        <a:p>
          <a:pPr algn="l" rtl="0">
            <a:defRPr sz="1000"/>
          </a:pPr>
          <a:endParaRPr lang="de-CH" sz="1100" b="0" i="0" u="none" strike="noStrike" baseline="0">
            <a:solidFill>
              <a:srgbClr val="000000"/>
            </a:solidFill>
            <a:latin typeface="Calibri"/>
            <a:cs typeface="Calibri"/>
          </a:endParaRPr>
        </a:p>
        <a:p>
          <a:pPr algn="l" rtl="0">
            <a:defRPr sz="1000"/>
          </a:pPr>
          <a:r>
            <a:rPr lang="de-CH" sz="1100" b="0" i="0" u="none" strike="noStrike" baseline="0">
              <a:solidFill>
                <a:srgbClr val="000000"/>
              </a:solidFill>
              <a:latin typeface="Calibri"/>
              <a:cs typeface="Calibri"/>
            </a:rPr>
            <a:t>Viele Fragen werden unter der ersten Schaltfläche "?" geklärt.</a:t>
          </a:r>
        </a:p>
      </xdr:txBody>
    </xdr:sp>
    <xdr:clientData/>
  </xdr:twoCellAnchor>
  <xdr:twoCellAnchor>
    <xdr:from>
      <xdr:col>1</xdr:col>
      <xdr:colOff>0</xdr:colOff>
      <xdr:row>3</xdr:row>
      <xdr:rowOff>0</xdr:rowOff>
    </xdr:from>
    <xdr:to>
      <xdr:col>2</xdr:col>
      <xdr:colOff>0</xdr:colOff>
      <xdr:row>4</xdr:row>
      <xdr:rowOff>0</xdr:rowOff>
    </xdr:to>
    <xdr:sp macro="" textlink="">
      <xdr:nvSpPr>
        <xdr:cNvPr id="20365" name="Text Box 909">
          <a:hlinkClick xmlns:r="http://schemas.openxmlformats.org/officeDocument/2006/relationships" r:id="rId3"/>
          <a:extLst>
            <a:ext uri="{FF2B5EF4-FFF2-40B4-BE49-F238E27FC236}">
              <a16:creationId xmlns:a16="http://schemas.microsoft.com/office/drawing/2014/main" id="{00000000-0008-0000-0100-00008D4F0000}"/>
            </a:ext>
          </a:extLst>
        </xdr:cNvPr>
        <xdr:cNvSpPr txBox="1">
          <a:spLocks noChangeArrowheads="1"/>
        </xdr:cNvSpPr>
      </xdr:nvSpPr>
      <xdr:spPr bwMode="auto">
        <a:xfrm>
          <a:off x="876300" y="419100"/>
          <a:ext cx="1193800" cy="228600"/>
        </a:xfrm>
        <a:prstGeom prst="rect">
          <a:avLst/>
        </a:prstGeom>
        <a:solidFill>
          <a:srgbClr val="DD0806"/>
        </a:solidFill>
        <a:ln w="9525">
          <a:noFill/>
          <a:miter lim="800000"/>
          <a:headEnd/>
          <a:tailEnd/>
        </a:ln>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a:t>
          </a:r>
        </a:p>
      </xdr:txBody>
    </xdr:sp>
    <xdr:clientData/>
  </xdr:twoCellAnchor>
  <xdr:twoCellAnchor>
    <xdr:from>
      <xdr:col>1</xdr:col>
      <xdr:colOff>0</xdr:colOff>
      <xdr:row>5</xdr:row>
      <xdr:rowOff>0</xdr:rowOff>
    </xdr:from>
    <xdr:to>
      <xdr:col>2</xdr:col>
      <xdr:colOff>0</xdr:colOff>
      <xdr:row>6</xdr:row>
      <xdr:rowOff>0</xdr:rowOff>
    </xdr:to>
    <xdr:sp macro="" textlink="">
      <xdr:nvSpPr>
        <xdr:cNvPr id="20366" name="Text Box 910">
          <a:hlinkClick xmlns:r="http://schemas.openxmlformats.org/officeDocument/2006/relationships" r:id="rId4"/>
          <a:extLst>
            <a:ext uri="{FF2B5EF4-FFF2-40B4-BE49-F238E27FC236}">
              <a16:creationId xmlns:a16="http://schemas.microsoft.com/office/drawing/2014/main" id="{00000000-0008-0000-0100-00008E4F0000}"/>
            </a:ext>
          </a:extLst>
        </xdr:cNvPr>
        <xdr:cNvSpPr txBox="1">
          <a:spLocks noChangeArrowheads="1"/>
        </xdr:cNvSpPr>
      </xdr:nvSpPr>
      <xdr:spPr bwMode="auto">
        <a:xfrm>
          <a:off x="876300" y="762000"/>
          <a:ext cx="1193800" cy="228600"/>
        </a:xfrm>
        <a:prstGeom prst="rect">
          <a:avLst/>
        </a:prstGeom>
        <a:solidFill>
          <a:srgbClr val="DD0806"/>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erste Eingabe</a:t>
          </a:r>
        </a:p>
      </xdr:txBody>
    </xdr:sp>
    <xdr:clientData/>
  </xdr:twoCellAnchor>
  <xdr:twoCellAnchor>
    <xdr:from>
      <xdr:col>1</xdr:col>
      <xdr:colOff>0</xdr:colOff>
      <xdr:row>9</xdr:row>
      <xdr:rowOff>0</xdr:rowOff>
    </xdr:from>
    <xdr:to>
      <xdr:col>2</xdr:col>
      <xdr:colOff>0</xdr:colOff>
      <xdr:row>10</xdr:row>
      <xdr:rowOff>0</xdr:rowOff>
    </xdr:to>
    <xdr:sp macro="" textlink="">
      <xdr:nvSpPr>
        <xdr:cNvPr id="20367" name="Text Box 911">
          <a:hlinkClick xmlns:r="http://schemas.openxmlformats.org/officeDocument/2006/relationships" r:id="rId5"/>
          <a:extLst>
            <a:ext uri="{FF2B5EF4-FFF2-40B4-BE49-F238E27FC236}">
              <a16:creationId xmlns:a16="http://schemas.microsoft.com/office/drawing/2014/main" id="{00000000-0008-0000-0100-00008F4F0000}"/>
            </a:ext>
          </a:extLst>
        </xdr:cNvPr>
        <xdr:cNvSpPr txBox="1">
          <a:spLocks noChangeArrowheads="1"/>
        </xdr:cNvSpPr>
      </xdr:nvSpPr>
      <xdr:spPr bwMode="auto">
        <a:xfrm>
          <a:off x="876300" y="1447800"/>
          <a:ext cx="1193800" cy="228600"/>
        </a:xfrm>
        <a:prstGeom prst="rect">
          <a:avLst/>
        </a:prstGeom>
        <a:solidFill>
          <a:srgbClr val="DD0806"/>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dritte Eingabe</a:t>
          </a:r>
        </a:p>
      </xdr:txBody>
    </xdr:sp>
    <xdr:clientData/>
  </xdr:twoCellAnchor>
  <xdr:twoCellAnchor>
    <xdr:from>
      <xdr:col>1</xdr:col>
      <xdr:colOff>0</xdr:colOff>
      <xdr:row>7</xdr:row>
      <xdr:rowOff>0</xdr:rowOff>
    </xdr:from>
    <xdr:to>
      <xdr:col>2</xdr:col>
      <xdr:colOff>0</xdr:colOff>
      <xdr:row>8</xdr:row>
      <xdr:rowOff>0</xdr:rowOff>
    </xdr:to>
    <xdr:sp macro="" textlink="">
      <xdr:nvSpPr>
        <xdr:cNvPr id="20368" name="Text Box 912">
          <a:hlinkClick xmlns:r="http://schemas.openxmlformats.org/officeDocument/2006/relationships" r:id="rId6"/>
          <a:extLst>
            <a:ext uri="{FF2B5EF4-FFF2-40B4-BE49-F238E27FC236}">
              <a16:creationId xmlns:a16="http://schemas.microsoft.com/office/drawing/2014/main" id="{00000000-0008-0000-0100-0000904F0000}"/>
            </a:ext>
          </a:extLst>
        </xdr:cNvPr>
        <xdr:cNvSpPr txBox="1">
          <a:spLocks noChangeArrowheads="1"/>
        </xdr:cNvSpPr>
      </xdr:nvSpPr>
      <xdr:spPr bwMode="auto">
        <a:xfrm>
          <a:off x="876300" y="1104900"/>
          <a:ext cx="1193800" cy="228600"/>
        </a:xfrm>
        <a:prstGeom prst="rect">
          <a:avLst/>
        </a:prstGeom>
        <a:solidFill>
          <a:srgbClr val="DD0806"/>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zweite Eingabe</a:t>
          </a:r>
        </a:p>
      </xdr:txBody>
    </xdr:sp>
    <xdr:clientData/>
  </xdr:twoCellAnchor>
  <xdr:twoCellAnchor>
    <xdr:from>
      <xdr:col>1</xdr:col>
      <xdr:colOff>0</xdr:colOff>
      <xdr:row>13</xdr:row>
      <xdr:rowOff>0</xdr:rowOff>
    </xdr:from>
    <xdr:to>
      <xdr:col>2</xdr:col>
      <xdr:colOff>0</xdr:colOff>
      <xdr:row>14</xdr:row>
      <xdr:rowOff>0</xdr:rowOff>
    </xdr:to>
    <xdr:sp macro="" textlink="">
      <xdr:nvSpPr>
        <xdr:cNvPr id="20369" name="Text Box 913">
          <a:hlinkClick xmlns:r="http://schemas.openxmlformats.org/officeDocument/2006/relationships" r:id="rId7"/>
          <a:extLst>
            <a:ext uri="{FF2B5EF4-FFF2-40B4-BE49-F238E27FC236}">
              <a16:creationId xmlns:a16="http://schemas.microsoft.com/office/drawing/2014/main" id="{00000000-0008-0000-0100-0000914F0000}"/>
            </a:ext>
          </a:extLst>
        </xdr:cNvPr>
        <xdr:cNvSpPr txBox="1">
          <a:spLocks noChangeArrowheads="1"/>
        </xdr:cNvSpPr>
      </xdr:nvSpPr>
      <xdr:spPr bwMode="auto">
        <a:xfrm>
          <a:off x="876300" y="2133600"/>
          <a:ext cx="1193800" cy="228600"/>
        </a:xfrm>
        <a:prstGeom prst="rect">
          <a:avLst/>
        </a:prstGeom>
        <a:solidFill>
          <a:srgbClr val="0000D4"/>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Januar</a:t>
          </a:r>
        </a:p>
      </xdr:txBody>
    </xdr:sp>
    <xdr:clientData/>
  </xdr:twoCellAnchor>
  <xdr:twoCellAnchor>
    <xdr:from>
      <xdr:col>1</xdr:col>
      <xdr:colOff>0</xdr:colOff>
      <xdr:row>15</xdr:row>
      <xdr:rowOff>0</xdr:rowOff>
    </xdr:from>
    <xdr:to>
      <xdr:col>2</xdr:col>
      <xdr:colOff>0</xdr:colOff>
      <xdr:row>16</xdr:row>
      <xdr:rowOff>0</xdr:rowOff>
    </xdr:to>
    <xdr:sp macro="" textlink="">
      <xdr:nvSpPr>
        <xdr:cNvPr id="20370" name="Text Box 914">
          <a:hlinkClick xmlns:r="http://schemas.openxmlformats.org/officeDocument/2006/relationships" r:id="rId8"/>
          <a:extLst>
            <a:ext uri="{FF2B5EF4-FFF2-40B4-BE49-F238E27FC236}">
              <a16:creationId xmlns:a16="http://schemas.microsoft.com/office/drawing/2014/main" id="{00000000-0008-0000-0100-0000924F0000}"/>
            </a:ext>
          </a:extLst>
        </xdr:cNvPr>
        <xdr:cNvSpPr txBox="1">
          <a:spLocks noChangeArrowheads="1"/>
        </xdr:cNvSpPr>
      </xdr:nvSpPr>
      <xdr:spPr bwMode="auto">
        <a:xfrm>
          <a:off x="876300" y="2476500"/>
          <a:ext cx="1193800" cy="228600"/>
        </a:xfrm>
        <a:prstGeom prst="rect">
          <a:avLst/>
        </a:prstGeom>
        <a:solidFill>
          <a:srgbClr val="0000D4"/>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Februar</a:t>
          </a:r>
        </a:p>
      </xdr:txBody>
    </xdr:sp>
    <xdr:clientData/>
  </xdr:twoCellAnchor>
  <xdr:twoCellAnchor>
    <xdr:from>
      <xdr:col>1</xdr:col>
      <xdr:colOff>0</xdr:colOff>
      <xdr:row>17</xdr:row>
      <xdr:rowOff>0</xdr:rowOff>
    </xdr:from>
    <xdr:to>
      <xdr:col>2</xdr:col>
      <xdr:colOff>0</xdr:colOff>
      <xdr:row>18</xdr:row>
      <xdr:rowOff>0</xdr:rowOff>
    </xdr:to>
    <xdr:sp macro="" textlink="">
      <xdr:nvSpPr>
        <xdr:cNvPr id="20371" name="Text Box 915">
          <a:hlinkClick xmlns:r="http://schemas.openxmlformats.org/officeDocument/2006/relationships" r:id="rId9"/>
          <a:extLst>
            <a:ext uri="{FF2B5EF4-FFF2-40B4-BE49-F238E27FC236}">
              <a16:creationId xmlns:a16="http://schemas.microsoft.com/office/drawing/2014/main" id="{00000000-0008-0000-0100-0000934F0000}"/>
            </a:ext>
          </a:extLst>
        </xdr:cNvPr>
        <xdr:cNvSpPr txBox="1">
          <a:spLocks noChangeArrowheads="1"/>
        </xdr:cNvSpPr>
      </xdr:nvSpPr>
      <xdr:spPr bwMode="auto">
        <a:xfrm>
          <a:off x="876300" y="2819400"/>
          <a:ext cx="1193800" cy="228600"/>
        </a:xfrm>
        <a:prstGeom prst="rect">
          <a:avLst/>
        </a:prstGeom>
        <a:solidFill>
          <a:srgbClr val="0000D4"/>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März</a:t>
          </a:r>
        </a:p>
      </xdr:txBody>
    </xdr:sp>
    <xdr:clientData/>
  </xdr:twoCellAnchor>
  <xdr:twoCellAnchor>
    <xdr:from>
      <xdr:col>3</xdr:col>
      <xdr:colOff>0</xdr:colOff>
      <xdr:row>13</xdr:row>
      <xdr:rowOff>0</xdr:rowOff>
    </xdr:from>
    <xdr:to>
      <xdr:col>4</xdr:col>
      <xdr:colOff>0</xdr:colOff>
      <xdr:row>14</xdr:row>
      <xdr:rowOff>0</xdr:rowOff>
    </xdr:to>
    <xdr:sp macro="" textlink="">
      <xdr:nvSpPr>
        <xdr:cNvPr id="20372" name="Text Box 916">
          <a:hlinkClick xmlns:r="http://schemas.openxmlformats.org/officeDocument/2006/relationships" r:id="rId10"/>
          <a:extLst>
            <a:ext uri="{FF2B5EF4-FFF2-40B4-BE49-F238E27FC236}">
              <a16:creationId xmlns:a16="http://schemas.microsoft.com/office/drawing/2014/main" id="{00000000-0008-0000-0100-0000944F0000}"/>
            </a:ext>
          </a:extLst>
        </xdr:cNvPr>
        <xdr:cNvSpPr txBox="1">
          <a:spLocks noChangeArrowheads="1"/>
        </xdr:cNvSpPr>
      </xdr:nvSpPr>
      <xdr:spPr bwMode="auto">
        <a:xfrm>
          <a:off x="2501900" y="2133600"/>
          <a:ext cx="1193800" cy="228600"/>
        </a:xfrm>
        <a:prstGeom prst="rect">
          <a:avLst/>
        </a:prstGeom>
        <a:solidFill>
          <a:srgbClr val="0000D4"/>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April</a:t>
          </a:r>
        </a:p>
      </xdr:txBody>
    </xdr:sp>
    <xdr:clientData/>
  </xdr:twoCellAnchor>
  <xdr:twoCellAnchor>
    <xdr:from>
      <xdr:col>3</xdr:col>
      <xdr:colOff>0</xdr:colOff>
      <xdr:row>15</xdr:row>
      <xdr:rowOff>0</xdr:rowOff>
    </xdr:from>
    <xdr:to>
      <xdr:col>4</xdr:col>
      <xdr:colOff>0</xdr:colOff>
      <xdr:row>16</xdr:row>
      <xdr:rowOff>0</xdr:rowOff>
    </xdr:to>
    <xdr:sp macro="" textlink="">
      <xdr:nvSpPr>
        <xdr:cNvPr id="20373" name="Text Box 917">
          <a:hlinkClick xmlns:r="http://schemas.openxmlformats.org/officeDocument/2006/relationships" r:id="rId11"/>
          <a:extLst>
            <a:ext uri="{FF2B5EF4-FFF2-40B4-BE49-F238E27FC236}">
              <a16:creationId xmlns:a16="http://schemas.microsoft.com/office/drawing/2014/main" id="{00000000-0008-0000-0100-0000954F0000}"/>
            </a:ext>
          </a:extLst>
        </xdr:cNvPr>
        <xdr:cNvSpPr txBox="1">
          <a:spLocks noChangeArrowheads="1"/>
        </xdr:cNvSpPr>
      </xdr:nvSpPr>
      <xdr:spPr bwMode="auto">
        <a:xfrm>
          <a:off x="2501900" y="2476500"/>
          <a:ext cx="1193800" cy="228600"/>
        </a:xfrm>
        <a:prstGeom prst="rect">
          <a:avLst/>
        </a:prstGeom>
        <a:solidFill>
          <a:srgbClr val="0000D4"/>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Mai</a:t>
          </a:r>
        </a:p>
      </xdr:txBody>
    </xdr:sp>
    <xdr:clientData/>
  </xdr:twoCellAnchor>
  <xdr:twoCellAnchor>
    <xdr:from>
      <xdr:col>3</xdr:col>
      <xdr:colOff>0</xdr:colOff>
      <xdr:row>17</xdr:row>
      <xdr:rowOff>0</xdr:rowOff>
    </xdr:from>
    <xdr:to>
      <xdr:col>4</xdr:col>
      <xdr:colOff>0</xdr:colOff>
      <xdr:row>18</xdr:row>
      <xdr:rowOff>0</xdr:rowOff>
    </xdr:to>
    <xdr:sp macro="" textlink="">
      <xdr:nvSpPr>
        <xdr:cNvPr id="20374" name="Text Box 918">
          <a:hlinkClick xmlns:r="http://schemas.openxmlformats.org/officeDocument/2006/relationships" r:id="rId12"/>
          <a:extLst>
            <a:ext uri="{FF2B5EF4-FFF2-40B4-BE49-F238E27FC236}">
              <a16:creationId xmlns:a16="http://schemas.microsoft.com/office/drawing/2014/main" id="{00000000-0008-0000-0100-0000964F0000}"/>
            </a:ext>
          </a:extLst>
        </xdr:cNvPr>
        <xdr:cNvSpPr txBox="1">
          <a:spLocks noChangeArrowheads="1"/>
        </xdr:cNvSpPr>
      </xdr:nvSpPr>
      <xdr:spPr bwMode="auto">
        <a:xfrm>
          <a:off x="2501900" y="2819400"/>
          <a:ext cx="1193800" cy="228600"/>
        </a:xfrm>
        <a:prstGeom prst="rect">
          <a:avLst/>
        </a:prstGeom>
        <a:solidFill>
          <a:srgbClr val="0000D4"/>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Juni</a:t>
          </a:r>
        </a:p>
      </xdr:txBody>
    </xdr:sp>
    <xdr:clientData/>
  </xdr:twoCellAnchor>
  <xdr:twoCellAnchor>
    <xdr:from>
      <xdr:col>5</xdr:col>
      <xdr:colOff>0</xdr:colOff>
      <xdr:row>13</xdr:row>
      <xdr:rowOff>0</xdr:rowOff>
    </xdr:from>
    <xdr:to>
      <xdr:col>6</xdr:col>
      <xdr:colOff>0</xdr:colOff>
      <xdr:row>14</xdr:row>
      <xdr:rowOff>0</xdr:rowOff>
    </xdr:to>
    <xdr:sp macro="" textlink="">
      <xdr:nvSpPr>
        <xdr:cNvPr id="20375" name="Text Box 919">
          <a:hlinkClick xmlns:r="http://schemas.openxmlformats.org/officeDocument/2006/relationships" r:id="rId13"/>
          <a:extLst>
            <a:ext uri="{FF2B5EF4-FFF2-40B4-BE49-F238E27FC236}">
              <a16:creationId xmlns:a16="http://schemas.microsoft.com/office/drawing/2014/main" id="{00000000-0008-0000-0100-0000974F0000}"/>
            </a:ext>
          </a:extLst>
        </xdr:cNvPr>
        <xdr:cNvSpPr txBox="1">
          <a:spLocks noChangeArrowheads="1"/>
        </xdr:cNvSpPr>
      </xdr:nvSpPr>
      <xdr:spPr bwMode="auto">
        <a:xfrm>
          <a:off x="4127500" y="2133600"/>
          <a:ext cx="1193800" cy="228600"/>
        </a:xfrm>
        <a:prstGeom prst="rect">
          <a:avLst/>
        </a:prstGeom>
        <a:solidFill>
          <a:srgbClr val="0000D4"/>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Juli</a:t>
          </a:r>
        </a:p>
      </xdr:txBody>
    </xdr:sp>
    <xdr:clientData/>
  </xdr:twoCellAnchor>
  <xdr:twoCellAnchor>
    <xdr:from>
      <xdr:col>5</xdr:col>
      <xdr:colOff>0</xdr:colOff>
      <xdr:row>15</xdr:row>
      <xdr:rowOff>0</xdr:rowOff>
    </xdr:from>
    <xdr:to>
      <xdr:col>6</xdr:col>
      <xdr:colOff>0</xdr:colOff>
      <xdr:row>16</xdr:row>
      <xdr:rowOff>0</xdr:rowOff>
    </xdr:to>
    <xdr:sp macro="" textlink="">
      <xdr:nvSpPr>
        <xdr:cNvPr id="20376" name="Text Box 920">
          <a:hlinkClick xmlns:r="http://schemas.openxmlformats.org/officeDocument/2006/relationships" r:id="rId14"/>
          <a:extLst>
            <a:ext uri="{FF2B5EF4-FFF2-40B4-BE49-F238E27FC236}">
              <a16:creationId xmlns:a16="http://schemas.microsoft.com/office/drawing/2014/main" id="{00000000-0008-0000-0100-0000984F0000}"/>
            </a:ext>
          </a:extLst>
        </xdr:cNvPr>
        <xdr:cNvSpPr txBox="1">
          <a:spLocks noChangeArrowheads="1"/>
        </xdr:cNvSpPr>
      </xdr:nvSpPr>
      <xdr:spPr bwMode="auto">
        <a:xfrm>
          <a:off x="4127500" y="2476500"/>
          <a:ext cx="1193800" cy="228600"/>
        </a:xfrm>
        <a:prstGeom prst="rect">
          <a:avLst/>
        </a:prstGeom>
        <a:solidFill>
          <a:srgbClr val="0000D4"/>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August</a:t>
          </a:r>
        </a:p>
      </xdr:txBody>
    </xdr:sp>
    <xdr:clientData/>
  </xdr:twoCellAnchor>
  <xdr:twoCellAnchor>
    <xdr:from>
      <xdr:col>5</xdr:col>
      <xdr:colOff>0</xdr:colOff>
      <xdr:row>17</xdr:row>
      <xdr:rowOff>0</xdr:rowOff>
    </xdr:from>
    <xdr:to>
      <xdr:col>6</xdr:col>
      <xdr:colOff>0</xdr:colOff>
      <xdr:row>18</xdr:row>
      <xdr:rowOff>0</xdr:rowOff>
    </xdr:to>
    <xdr:sp macro="" textlink="">
      <xdr:nvSpPr>
        <xdr:cNvPr id="20377" name="Text Box 921">
          <a:hlinkClick xmlns:r="http://schemas.openxmlformats.org/officeDocument/2006/relationships" r:id="rId15"/>
          <a:extLst>
            <a:ext uri="{FF2B5EF4-FFF2-40B4-BE49-F238E27FC236}">
              <a16:creationId xmlns:a16="http://schemas.microsoft.com/office/drawing/2014/main" id="{00000000-0008-0000-0100-0000994F0000}"/>
            </a:ext>
          </a:extLst>
        </xdr:cNvPr>
        <xdr:cNvSpPr txBox="1">
          <a:spLocks noChangeArrowheads="1"/>
        </xdr:cNvSpPr>
      </xdr:nvSpPr>
      <xdr:spPr bwMode="auto">
        <a:xfrm>
          <a:off x="4127500" y="2819400"/>
          <a:ext cx="1193800" cy="228600"/>
        </a:xfrm>
        <a:prstGeom prst="rect">
          <a:avLst/>
        </a:prstGeom>
        <a:solidFill>
          <a:srgbClr val="0000D4"/>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September</a:t>
          </a:r>
        </a:p>
      </xdr:txBody>
    </xdr:sp>
    <xdr:clientData/>
  </xdr:twoCellAnchor>
  <xdr:twoCellAnchor>
    <xdr:from>
      <xdr:col>7</xdr:col>
      <xdr:colOff>0</xdr:colOff>
      <xdr:row>13</xdr:row>
      <xdr:rowOff>0</xdr:rowOff>
    </xdr:from>
    <xdr:to>
      <xdr:col>8</xdr:col>
      <xdr:colOff>0</xdr:colOff>
      <xdr:row>14</xdr:row>
      <xdr:rowOff>0</xdr:rowOff>
    </xdr:to>
    <xdr:sp macro="" textlink="">
      <xdr:nvSpPr>
        <xdr:cNvPr id="20378" name="Text Box 922">
          <a:hlinkClick xmlns:r="http://schemas.openxmlformats.org/officeDocument/2006/relationships" r:id="rId16"/>
          <a:extLst>
            <a:ext uri="{FF2B5EF4-FFF2-40B4-BE49-F238E27FC236}">
              <a16:creationId xmlns:a16="http://schemas.microsoft.com/office/drawing/2014/main" id="{00000000-0008-0000-0100-00009A4F0000}"/>
            </a:ext>
          </a:extLst>
        </xdr:cNvPr>
        <xdr:cNvSpPr txBox="1">
          <a:spLocks noChangeArrowheads="1"/>
        </xdr:cNvSpPr>
      </xdr:nvSpPr>
      <xdr:spPr bwMode="auto">
        <a:xfrm>
          <a:off x="5753100" y="2133600"/>
          <a:ext cx="1193800" cy="228600"/>
        </a:xfrm>
        <a:prstGeom prst="rect">
          <a:avLst/>
        </a:prstGeom>
        <a:solidFill>
          <a:srgbClr val="0000D4"/>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Oktober</a:t>
          </a:r>
        </a:p>
      </xdr:txBody>
    </xdr:sp>
    <xdr:clientData/>
  </xdr:twoCellAnchor>
  <xdr:twoCellAnchor>
    <xdr:from>
      <xdr:col>7</xdr:col>
      <xdr:colOff>0</xdr:colOff>
      <xdr:row>15</xdr:row>
      <xdr:rowOff>0</xdr:rowOff>
    </xdr:from>
    <xdr:to>
      <xdr:col>8</xdr:col>
      <xdr:colOff>0</xdr:colOff>
      <xdr:row>16</xdr:row>
      <xdr:rowOff>0</xdr:rowOff>
    </xdr:to>
    <xdr:sp macro="" textlink="">
      <xdr:nvSpPr>
        <xdr:cNvPr id="20379" name="Text Box 923">
          <a:hlinkClick xmlns:r="http://schemas.openxmlformats.org/officeDocument/2006/relationships" r:id="rId17"/>
          <a:extLst>
            <a:ext uri="{FF2B5EF4-FFF2-40B4-BE49-F238E27FC236}">
              <a16:creationId xmlns:a16="http://schemas.microsoft.com/office/drawing/2014/main" id="{00000000-0008-0000-0100-00009B4F0000}"/>
            </a:ext>
          </a:extLst>
        </xdr:cNvPr>
        <xdr:cNvSpPr txBox="1">
          <a:spLocks noChangeArrowheads="1"/>
        </xdr:cNvSpPr>
      </xdr:nvSpPr>
      <xdr:spPr bwMode="auto">
        <a:xfrm>
          <a:off x="5753100" y="2476500"/>
          <a:ext cx="1193800" cy="228600"/>
        </a:xfrm>
        <a:prstGeom prst="rect">
          <a:avLst/>
        </a:prstGeom>
        <a:solidFill>
          <a:srgbClr val="0000D4"/>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November</a:t>
          </a:r>
        </a:p>
      </xdr:txBody>
    </xdr:sp>
    <xdr:clientData/>
  </xdr:twoCellAnchor>
  <xdr:twoCellAnchor>
    <xdr:from>
      <xdr:col>7</xdr:col>
      <xdr:colOff>0</xdr:colOff>
      <xdr:row>17</xdr:row>
      <xdr:rowOff>0</xdr:rowOff>
    </xdr:from>
    <xdr:to>
      <xdr:col>8</xdr:col>
      <xdr:colOff>0</xdr:colOff>
      <xdr:row>18</xdr:row>
      <xdr:rowOff>0</xdr:rowOff>
    </xdr:to>
    <xdr:sp macro="" textlink="">
      <xdr:nvSpPr>
        <xdr:cNvPr id="20380" name="Text Box 924">
          <a:hlinkClick xmlns:r="http://schemas.openxmlformats.org/officeDocument/2006/relationships" r:id="rId18"/>
          <a:extLst>
            <a:ext uri="{FF2B5EF4-FFF2-40B4-BE49-F238E27FC236}">
              <a16:creationId xmlns:a16="http://schemas.microsoft.com/office/drawing/2014/main" id="{00000000-0008-0000-0100-00009C4F0000}"/>
            </a:ext>
          </a:extLst>
        </xdr:cNvPr>
        <xdr:cNvSpPr txBox="1">
          <a:spLocks noChangeArrowheads="1"/>
        </xdr:cNvSpPr>
      </xdr:nvSpPr>
      <xdr:spPr bwMode="auto">
        <a:xfrm>
          <a:off x="5753100" y="2819400"/>
          <a:ext cx="1193800" cy="228600"/>
        </a:xfrm>
        <a:prstGeom prst="rect">
          <a:avLst/>
        </a:prstGeom>
        <a:solidFill>
          <a:srgbClr val="0000D4"/>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Dezember</a:t>
          </a:r>
        </a:p>
      </xdr:txBody>
    </xdr:sp>
    <xdr:clientData/>
  </xdr:twoCellAnchor>
  <xdr:twoCellAnchor>
    <xdr:from>
      <xdr:col>1</xdr:col>
      <xdr:colOff>0</xdr:colOff>
      <xdr:row>21</xdr:row>
      <xdr:rowOff>0</xdr:rowOff>
    </xdr:from>
    <xdr:to>
      <xdr:col>2</xdr:col>
      <xdr:colOff>0</xdr:colOff>
      <xdr:row>22</xdr:row>
      <xdr:rowOff>0</xdr:rowOff>
    </xdr:to>
    <xdr:sp macro="" textlink="">
      <xdr:nvSpPr>
        <xdr:cNvPr id="20381" name="Text Box 925">
          <a:hlinkClick xmlns:r="http://schemas.openxmlformats.org/officeDocument/2006/relationships" r:id="rId19"/>
          <a:extLst>
            <a:ext uri="{FF2B5EF4-FFF2-40B4-BE49-F238E27FC236}">
              <a16:creationId xmlns:a16="http://schemas.microsoft.com/office/drawing/2014/main" id="{00000000-0008-0000-0100-00009D4F0000}"/>
            </a:ext>
          </a:extLst>
        </xdr:cNvPr>
        <xdr:cNvSpPr txBox="1">
          <a:spLocks noChangeArrowheads="1"/>
        </xdr:cNvSpPr>
      </xdr:nvSpPr>
      <xdr:spPr bwMode="auto">
        <a:xfrm>
          <a:off x="876300" y="3505200"/>
          <a:ext cx="1193800" cy="228600"/>
        </a:xfrm>
        <a:prstGeom prst="rect">
          <a:avLst/>
        </a:prstGeom>
        <a:solidFill>
          <a:srgbClr val="339966"/>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Bericht A</a:t>
          </a:r>
        </a:p>
      </xdr:txBody>
    </xdr:sp>
    <xdr:clientData/>
  </xdr:twoCellAnchor>
  <xdr:twoCellAnchor>
    <xdr:from>
      <xdr:col>1</xdr:col>
      <xdr:colOff>0</xdr:colOff>
      <xdr:row>23</xdr:row>
      <xdr:rowOff>0</xdr:rowOff>
    </xdr:from>
    <xdr:to>
      <xdr:col>2</xdr:col>
      <xdr:colOff>0</xdr:colOff>
      <xdr:row>24</xdr:row>
      <xdr:rowOff>0</xdr:rowOff>
    </xdr:to>
    <xdr:sp macro="" textlink="">
      <xdr:nvSpPr>
        <xdr:cNvPr id="20383" name="Text Box 927">
          <a:hlinkClick xmlns:r="http://schemas.openxmlformats.org/officeDocument/2006/relationships" r:id="rId20"/>
          <a:extLst>
            <a:ext uri="{FF2B5EF4-FFF2-40B4-BE49-F238E27FC236}">
              <a16:creationId xmlns:a16="http://schemas.microsoft.com/office/drawing/2014/main" id="{00000000-0008-0000-0100-00009F4F0000}"/>
            </a:ext>
          </a:extLst>
        </xdr:cNvPr>
        <xdr:cNvSpPr txBox="1">
          <a:spLocks noChangeArrowheads="1"/>
        </xdr:cNvSpPr>
      </xdr:nvSpPr>
      <xdr:spPr bwMode="auto">
        <a:xfrm>
          <a:off x="876300" y="3848100"/>
          <a:ext cx="1193800" cy="228600"/>
        </a:xfrm>
        <a:prstGeom prst="rect">
          <a:avLst/>
        </a:prstGeom>
        <a:solidFill>
          <a:srgbClr val="339966"/>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Bericht B</a:t>
          </a:r>
        </a:p>
      </xdr:txBody>
    </xdr:sp>
    <xdr:clientData/>
  </xdr:twoCellAnchor>
  <xdr:twoCellAnchor>
    <xdr:from>
      <xdr:col>1</xdr:col>
      <xdr:colOff>0</xdr:colOff>
      <xdr:row>25</xdr:row>
      <xdr:rowOff>0</xdr:rowOff>
    </xdr:from>
    <xdr:to>
      <xdr:col>2</xdr:col>
      <xdr:colOff>0</xdr:colOff>
      <xdr:row>26</xdr:row>
      <xdr:rowOff>0</xdr:rowOff>
    </xdr:to>
    <xdr:sp macro="" textlink="">
      <xdr:nvSpPr>
        <xdr:cNvPr id="20384" name="Text Box 928">
          <a:hlinkClick xmlns:r="http://schemas.openxmlformats.org/officeDocument/2006/relationships" r:id="rId21"/>
          <a:extLst>
            <a:ext uri="{FF2B5EF4-FFF2-40B4-BE49-F238E27FC236}">
              <a16:creationId xmlns:a16="http://schemas.microsoft.com/office/drawing/2014/main" id="{00000000-0008-0000-0100-0000A04F0000}"/>
            </a:ext>
          </a:extLst>
        </xdr:cNvPr>
        <xdr:cNvSpPr txBox="1">
          <a:spLocks noChangeArrowheads="1"/>
        </xdr:cNvSpPr>
      </xdr:nvSpPr>
      <xdr:spPr bwMode="auto">
        <a:xfrm>
          <a:off x="876300" y="4191000"/>
          <a:ext cx="1193800" cy="228600"/>
        </a:xfrm>
        <a:prstGeom prst="rect">
          <a:avLst/>
        </a:prstGeom>
        <a:solidFill>
          <a:srgbClr val="339966"/>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Bericht C</a:t>
          </a:r>
        </a:p>
      </xdr:txBody>
    </xdr:sp>
    <xdr:clientData/>
  </xdr:twoCellAnchor>
  <xdr:twoCellAnchor>
    <xdr:from>
      <xdr:col>1</xdr:col>
      <xdr:colOff>0</xdr:colOff>
      <xdr:row>27</xdr:row>
      <xdr:rowOff>0</xdr:rowOff>
    </xdr:from>
    <xdr:to>
      <xdr:col>2</xdr:col>
      <xdr:colOff>0</xdr:colOff>
      <xdr:row>28</xdr:row>
      <xdr:rowOff>0</xdr:rowOff>
    </xdr:to>
    <xdr:sp macro="" textlink="">
      <xdr:nvSpPr>
        <xdr:cNvPr id="20385" name="Text Box 929">
          <a:hlinkClick xmlns:r="http://schemas.openxmlformats.org/officeDocument/2006/relationships" r:id="rId22"/>
          <a:extLst>
            <a:ext uri="{FF2B5EF4-FFF2-40B4-BE49-F238E27FC236}">
              <a16:creationId xmlns:a16="http://schemas.microsoft.com/office/drawing/2014/main" id="{00000000-0008-0000-0100-0000A14F0000}"/>
            </a:ext>
          </a:extLst>
        </xdr:cNvPr>
        <xdr:cNvSpPr txBox="1">
          <a:spLocks noChangeArrowheads="1"/>
        </xdr:cNvSpPr>
      </xdr:nvSpPr>
      <xdr:spPr bwMode="auto">
        <a:xfrm>
          <a:off x="876300" y="4533900"/>
          <a:ext cx="1193800" cy="228600"/>
        </a:xfrm>
        <a:prstGeom prst="rect">
          <a:avLst/>
        </a:prstGeom>
        <a:solidFill>
          <a:srgbClr val="339966"/>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Bericht D</a:t>
          </a:r>
        </a:p>
      </xdr:txBody>
    </xdr:sp>
    <xdr:clientData/>
  </xdr:twoCellAnchor>
  <xdr:twoCellAnchor>
    <xdr:from>
      <xdr:col>1</xdr:col>
      <xdr:colOff>0</xdr:colOff>
      <xdr:row>29</xdr:row>
      <xdr:rowOff>0</xdr:rowOff>
    </xdr:from>
    <xdr:to>
      <xdr:col>2</xdr:col>
      <xdr:colOff>0</xdr:colOff>
      <xdr:row>30</xdr:row>
      <xdr:rowOff>0</xdr:rowOff>
    </xdr:to>
    <xdr:sp macro="" textlink="">
      <xdr:nvSpPr>
        <xdr:cNvPr id="20386" name="Text Box 930">
          <a:hlinkClick xmlns:r="http://schemas.openxmlformats.org/officeDocument/2006/relationships" r:id="rId23"/>
          <a:extLst>
            <a:ext uri="{FF2B5EF4-FFF2-40B4-BE49-F238E27FC236}">
              <a16:creationId xmlns:a16="http://schemas.microsoft.com/office/drawing/2014/main" id="{00000000-0008-0000-0100-0000A24F0000}"/>
            </a:ext>
          </a:extLst>
        </xdr:cNvPr>
        <xdr:cNvSpPr txBox="1">
          <a:spLocks noChangeArrowheads="1"/>
        </xdr:cNvSpPr>
      </xdr:nvSpPr>
      <xdr:spPr bwMode="auto">
        <a:xfrm>
          <a:off x="876300" y="4876800"/>
          <a:ext cx="1193800" cy="228600"/>
        </a:xfrm>
        <a:prstGeom prst="rect">
          <a:avLst/>
        </a:prstGeom>
        <a:solidFill>
          <a:srgbClr val="339966"/>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Bericht E</a:t>
          </a:r>
        </a:p>
      </xdr:txBody>
    </xdr:sp>
    <xdr:clientData/>
  </xdr:twoCellAnchor>
  <xdr:twoCellAnchor>
    <xdr:from>
      <xdr:col>1</xdr:col>
      <xdr:colOff>0</xdr:colOff>
      <xdr:row>31</xdr:row>
      <xdr:rowOff>0</xdr:rowOff>
    </xdr:from>
    <xdr:to>
      <xdr:col>2</xdr:col>
      <xdr:colOff>0</xdr:colOff>
      <xdr:row>32</xdr:row>
      <xdr:rowOff>0</xdr:rowOff>
    </xdr:to>
    <xdr:sp macro="" textlink="">
      <xdr:nvSpPr>
        <xdr:cNvPr id="2" name="Text Box 930">
          <a:hlinkClick xmlns:r="http://schemas.openxmlformats.org/officeDocument/2006/relationships" r:id="rId24"/>
          <a:extLst>
            <a:ext uri="{FF2B5EF4-FFF2-40B4-BE49-F238E27FC236}">
              <a16:creationId xmlns:a16="http://schemas.microsoft.com/office/drawing/2014/main" id="{00000000-0008-0000-0100-000002000000}"/>
            </a:ext>
          </a:extLst>
        </xdr:cNvPr>
        <xdr:cNvSpPr txBox="1">
          <a:spLocks noChangeArrowheads="1"/>
        </xdr:cNvSpPr>
      </xdr:nvSpPr>
      <xdr:spPr bwMode="auto">
        <a:xfrm>
          <a:off x="876300" y="4876800"/>
          <a:ext cx="1193800" cy="228600"/>
        </a:xfrm>
        <a:prstGeom prst="rect">
          <a:avLst/>
        </a:prstGeom>
        <a:solidFill>
          <a:srgbClr val="339966"/>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Bericht F</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12700</xdr:colOff>
      <xdr:row>24</xdr:row>
      <xdr:rowOff>0</xdr:rowOff>
    </xdr:from>
    <xdr:to>
      <xdr:col>2</xdr:col>
      <xdr:colOff>12700</xdr:colOff>
      <xdr:row>24</xdr:row>
      <xdr:rowOff>0</xdr:rowOff>
    </xdr:to>
    <xdr:sp macro="" textlink="">
      <xdr:nvSpPr>
        <xdr:cNvPr id="2553480" name="Line 135">
          <a:extLst>
            <a:ext uri="{FF2B5EF4-FFF2-40B4-BE49-F238E27FC236}">
              <a16:creationId xmlns:a16="http://schemas.microsoft.com/office/drawing/2014/main" id="{00000000-0008-0000-1300-000088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481" name="Line 330">
          <a:extLst>
            <a:ext uri="{FF2B5EF4-FFF2-40B4-BE49-F238E27FC236}">
              <a16:creationId xmlns:a16="http://schemas.microsoft.com/office/drawing/2014/main" id="{00000000-0008-0000-1300-000089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482" name="Line 135">
          <a:extLst>
            <a:ext uri="{FF2B5EF4-FFF2-40B4-BE49-F238E27FC236}">
              <a16:creationId xmlns:a16="http://schemas.microsoft.com/office/drawing/2014/main" id="{00000000-0008-0000-1300-00008A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483" name="Line 330">
          <a:extLst>
            <a:ext uri="{FF2B5EF4-FFF2-40B4-BE49-F238E27FC236}">
              <a16:creationId xmlns:a16="http://schemas.microsoft.com/office/drawing/2014/main" id="{00000000-0008-0000-1300-00008B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484" name="Line 330">
          <a:extLst>
            <a:ext uri="{FF2B5EF4-FFF2-40B4-BE49-F238E27FC236}">
              <a16:creationId xmlns:a16="http://schemas.microsoft.com/office/drawing/2014/main" id="{00000000-0008-0000-1300-00008C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53485" name="Line 4">
          <a:extLst>
            <a:ext uri="{FF2B5EF4-FFF2-40B4-BE49-F238E27FC236}">
              <a16:creationId xmlns:a16="http://schemas.microsoft.com/office/drawing/2014/main" id="{00000000-0008-0000-1300-00008DF62600}"/>
            </a:ext>
          </a:extLst>
        </xdr:cNvPr>
        <xdr:cNvSpPr>
          <a:spLocks noChangeShapeType="1"/>
        </xdr:cNvSpPr>
      </xdr:nvSpPr>
      <xdr:spPr bwMode="auto">
        <a:xfrm>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53486" name="Line 5">
          <a:extLst>
            <a:ext uri="{FF2B5EF4-FFF2-40B4-BE49-F238E27FC236}">
              <a16:creationId xmlns:a16="http://schemas.microsoft.com/office/drawing/2014/main" id="{00000000-0008-0000-1300-00008EF62600}"/>
            </a:ext>
          </a:extLst>
        </xdr:cNvPr>
        <xdr:cNvSpPr>
          <a:spLocks noChangeShapeType="1"/>
        </xdr:cNvSpPr>
      </xdr:nvSpPr>
      <xdr:spPr bwMode="auto">
        <a:xfrm flipV="1">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53487" name="Line 8">
          <a:extLst>
            <a:ext uri="{FF2B5EF4-FFF2-40B4-BE49-F238E27FC236}">
              <a16:creationId xmlns:a16="http://schemas.microsoft.com/office/drawing/2014/main" id="{00000000-0008-0000-1300-00008FF6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53488" name="Line 9">
          <a:extLst>
            <a:ext uri="{FF2B5EF4-FFF2-40B4-BE49-F238E27FC236}">
              <a16:creationId xmlns:a16="http://schemas.microsoft.com/office/drawing/2014/main" id="{00000000-0008-0000-1300-000090F6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53489" name="Line 10">
          <a:extLst>
            <a:ext uri="{FF2B5EF4-FFF2-40B4-BE49-F238E27FC236}">
              <a16:creationId xmlns:a16="http://schemas.microsoft.com/office/drawing/2014/main" id="{00000000-0008-0000-1300-000091F6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53490" name="Line 11">
          <a:extLst>
            <a:ext uri="{FF2B5EF4-FFF2-40B4-BE49-F238E27FC236}">
              <a16:creationId xmlns:a16="http://schemas.microsoft.com/office/drawing/2014/main" id="{00000000-0008-0000-1300-000092F6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53491" name="Line 20">
          <a:extLst>
            <a:ext uri="{FF2B5EF4-FFF2-40B4-BE49-F238E27FC236}">
              <a16:creationId xmlns:a16="http://schemas.microsoft.com/office/drawing/2014/main" id="{00000000-0008-0000-1300-000093F6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53492" name="Line 21">
          <a:extLst>
            <a:ext uri="{FF2B5EF4-FFF2-40B4-BE49-F238E27FC236}">
              <a16:creationId xmlns:a16="http://schemas.microsoft.com/office/drawing/2014/main" id="{00000000-0008-0000-1300-000094F6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53493" name="Line 22">
          <a:extLst>
            <a:ext uri="{FF2B5EF4-FFF2-40B4-BE49-F238E27FC236}">
              <a16:creationId xmlns:a16="http://schemas.microsoft.com/office/drawing/2014/main" id="{00000000-0008-0000-1300-000095F6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53494" name="Line 23">
          <a:extLst>
            <a:ext uri="{FF2B5EF4-FFF2-40B4-BE49-F238E27FC236}">
              <a16:creationId xmlns:a16="http://schemas.microsoft.com/office/drawing/2014/main" id="{00000000-0008-0000-1300-000096F6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53495" name="Line 26">
          <a:extLst>
            <a:ext uri="{FF2B5EF4-FFF2-40B4-BE49-F238E27FC236}">
              <a16:creationId xmlns:a16="http://schemas.microsoft.com/office/drawing/2014/main" id="{00000000-0008-0000-1300-000097F6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53496" name="Line 27">
          <a:extLst>
            <a:ext uri="{FF2B5EF4-FFF2-40B4-BE49-F238E27FC236}">
              <a16:creationId xmlns:a16="http://schemas.microsoft.com/office/drawing/2014/main" id="{00000000-0008-0000-1300-000098F6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53497" name="Line 28">
          <a:extLst>
            <a:ext uri="{FF2B5EF4-FFF2-40B4-BE49-F238E27FC236}">
              <a16:creationId xmlns:a16="http://schemas.microsoft.com/office/drawing/2014/main" id="{00000000-0008-0000-1300-000099F626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53498" name="Line 29">
          <a:extLst>
            <a:ext uri="{FF2B5EF4-FFF2-40B4-BE49-F238E27FC236}">
              <a16:creationId xmlns:a16="http://schemas.microsoft.com/office/drawing/2014/main" id="{00000000-0008-0000-1300-00009AF62600}"/>
            </a:ext>
          </a:extLst>
        </xdr:cNvPr>
        <xdr:cNvSpPr>
          <a:spLocks noChangeShapeType="1"/>
        </xdr:cNvSpPr>
      </xdr:nvSpPr>
      <xdr:spPr bwMode="auto">
        <a:xfrm>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53499" name="Line 30">
          <a:extLst>
            <a:ext uri="{FF2B5EF4-FFF2-40B4-BE49-F238E27FC236}">
              <a16:creationId xmlns:a16="http://schemas.microsoft.com/office/drawing/2014/main" id="{00000000-0008-0000-1300-00009BF62600}"/>
            </a:ext>
          </a:extLst>
        </xdr:cNvPr>
        <xdr:cNvSpPr>
          <a:spLocks noChangeShapeType="1"/>
        </xdr:cNvSpPr>
      </xdr:nvSpPr>
      <xdr:spPr bwMode="auto">
        <a:xfrm flipV="1">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53500" name="Line 31">
          <a:extLst>
            <a:ext uri="{FF2B5EF4-FFF2-40B4-BE49-F238E27FC236}">
              <a16:creationId xmlns:a16="http://schemas.microsoft.com/office/drawing/2014/main" id="{00000000-0008-0000-1300-00009CF62600}"/>
            </a:ext>
          </a:extLst>
        </xdr:cNvPr>
        <xdr:cNvSpPr>
          <a:spLocks noChangeShapeType="1"/>
        </xdr:cNvSpPr>
      </xdr:nvSpPr>
      <xdr:spPr bwMode="auto">
        <a:xfrm>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53501" name="Line 32">
          <a:extLst>
            <a:ext uri="{FF2B5EF4-FFF2-40B4-BE49-F238E27FC236}">
              <a16:creationId xmlns:a16="http://schemas.microsoft.com/office/drawing/2014/main" id="{00000000-0008-0000-1300-00009DF6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53502" name="Line 33">
          <a:extLst>
            <a:ext uri="{FF2B5EF4-FFF2-40B4-BE49-F238E27FC236}">
              <a16:creationId xmlns:a16="http://schemas.microsoft.com/office/drawing/2014/main" id="{00000000-0008-0000-1300-00009EF6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53503" name="Line 34">
          <a:extLst>
            <a:ext uri="{FF2B5EF4-FFF2-40B4-BE49-F238E27FC236}">
              <a16:creationId xmlns:a16="http://schemas.microsoft.com/office/drawing/2014/main" id="{00000000-0008-0000-1300-00009FF6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53504" name="Line 35">
          <a:extLst>
            <a:ext uri="{FF2B5EF4-FFF2-40B4-BE49-F238E27FC236}">
              <a16:creationId xmlns:a16="http://schemas.microsoft.com/office/drawing/2014/main" id="{00000000-0008-0000-1300-0000A0F6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27</xdr:row>
      <xdr:rowOff>0</xdr:rowOff>
    </xdr:to>
    <xdr:sp macro="" textlink="">
      <xdr:nvSpPr>
        <xdr:cNvPr id="2553505" name="Line 36">
          <a:extLst>
            <a:ext uri="{FF2B5EF4-FFF2-40B4-BE49-F238E27FC236}">
              <a16:creationId xmlns:a16="http://schemas.microsoft.com/office/drawing/2014/main" id="{00000000-0008-0000-1300-0000A1F626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53506" name="Line 38">
          <a:extLst>
            <a:ext uri="{FF2B5EF4-FFF2-40B4-BE49-F238E27FC236}">
              <a16:creationId xmlns:a16="http://schemas.microsoft.com/office/drawing/2014/main" id="{00000000-0008-0000-1300-0000A2F62600}"/>
            </a:ext>
          </a:extLst>
        </xdr:cNvPr>
        <xdr:cNvSpPr>
          <a:spLocks noChangeShapeType="1"/>
        </xdr:cNvSpPr>
      </xdr:nvSpPr>
      <xdr:spPr bwMode="auto">
        <a:xfrm flipV="1">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53507" name="Line 39">
          <a:extLst>
            <a:ext uri="{FF2B5EF4-FFF2-40B4-BE49-F238E27FC236}">
              <a16:creationId xmlns:a16="http://schemas.microsoft.com/office/drawing/2014/main" id="{00000000-0008-0000-1300-0000A3F62600}"/>
            </a:ext>
          </a:extLst>
        </xdr:cNvPr>
        <xdr:cNvSpPr>
          <a:spLocks noChangeShapeType="1"/>
        </xdr:cNvSpPr>
      </xdr:nvSpPr>
      <xdr:spPr bwMode="auto">
        <a:xfrm>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53508" name="Line 40">
          <a:extLst>
            <a:ext uri="{FF2B5EF4-FFF2-40B4-BE49-F238E27FC236}">
              <a16:creationId xmlns:a16="http://schemas.microsoft.com/office/drawing/2014/main" id="{00000000-0008-0000-1300-0000A4F62600}"/>
            </a:ext>
          </a:extLst>
        </xdr:cNvPr>
        <xdr:cNvSpPr>
          <a:spLocks noChangeShapeType="1"/>
        </xdr:cNvSpPr>
      </xdr:nvSpPr>
      <xdr:spPr bwMode="auto">
        <a:xfrm flipV="1">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53509" name="Line 41">
          <a:extLst>
            <a:ext uri="{FF2B5EF4-FFF2-40B4-BE49-F238E27FC236}">
              <a16:creationId xmlns:a16="http://schemas.microsoft.com/office/drawing/2014/main" id="{00000000-0008-0000-1300-0000A5F626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53510" name="Line 42">
          <a:extLst>
            <a:ext uri="{FF2B5EF4-FFF2-40B4-BE49-F238E27FC236}">
              <a16:creationId xmlns:a16="http://schemas.microsoft.com/office/drawing/2014/main" id="{00000000-0008-0000-1300-0000A6F62600}"/>
            </a:ext>
          </a:extLst>
        </xdr:cNvPr>
        <xdr:cNvSpPr>
          <a:spLocks noChangeShapeType="1"/>
        </xdr:cNvSpPr>
      </xdr:nvSpPr>
      <xdr:spPr bwMode="auto">
        <a:xfrm flipV="1">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53511" name="Line 43">
          <a:extLst>
            <a:ext uri="{FF2B5EF4-FFF2-40B4-BE49-F238E27FC236}">
              <a16:creationId xmlns:a16="http://schemas.microsoft.com/office/drawing/2014/main" id="{00000000-0008-0000-1300-0000A7F62600}"/>
            </a:ext>
          </a:extLst>
        </xdr:cNvPr>
        <xdr:cNvSpPr>
          <a:spLocks noChangeShapeType="1"/>
        </xdr:cNvSpPr>
      </xdr:nvSpPr>
      <xdr:spPr bwMode="auto">
        <a:xfrm>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53512" name="Line 44">
          <a:extLst>
            <a:ext uri="{FF2B5EF4-FFF2-40B4-BE49-F238E27FC236}">
              <a16:creationId xmlns:a16="http://schemas.microsoft.com/office/drawing/2014/main" id="{00000000-0008-0000-1300-0000A8F62600}"/>
            </a:ext>
          </a:extLst>
        </xdr:cNvPr>
        <xdr:cNvSpPr>
          <a:spLocks noChangeShapeType="1"/>
        </xdr:cNvSpPr>
      </xdr:nvSpPr>
      <xdr:spPr bwMode="auto">
        <a:xfrm flipV="1">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53513" name="Line 45">
          <a:extLst>
            <a:ext uri="{FF2B5EF4-FFF2-40B4-BE49-F238E27FC236}">
              <a16:creationId xmlns:a16="http://schemas.microsoft.com/office/drawing/2014/main" id="{00000000-0008-0000-1300-0000A9F62600}"/>
            </a:ext>
          </a:extLst>
        </xdr:cNvPr>
        <xdr:cNvSpPr>
          <a:spLocks noChangeShapeType="1"/>
        </xdr:cNvSpPr>
      </xdr:nvSpPr>
      <xdr:spPr bwMode="auto">
        <a:xfrm>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53514" name="Line 46">
          <a:extLst>
            <a:ext uri="{FF2B5EF4-FFF2-40B4-BE49-F238E27FC236}">
              <a16:creationId xmlns:a16="http://schemas.microsoft.com/office/drawing/2014/main" id="{00000000-0008-0000-1300-0000AAF6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53515" name="Line 47">
          <a:extLst>
            <a:ext uri="{FF2B5EF4-FFF2-40B4-BE49-F238E27FC236}">
              <a16:creationId xmlns:a16="http://schemas.microsoft.com/office/drawing/2014/main" id="{00000000-0008-0000-1300-0000ABF6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53516" name="Line 49">
          <a:extLst>
            <a:ext uri="{FF2B5EF4-FFF2-40B4-BE49-F238E27FC236}">
              <a16:creationId xmlns:a16="http://schemas.microsoft.com/office/drawing/2014/main" id="{00000000-0008-0000-1300-0000ACF6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53517" name="Line 50">
          <a:extLst>
            <a:ext uri="{FF2B5EF4-FFF2-40B4-BE49-F238E27FC236}">
              <a16:creationId xmlns:a16="http://schemas.microsoft.com/office/drawing/2014/main" id="{00000000-0008-0000-1300-0000ADF6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53518" name="Line 51">
          <a:extLst>
            <a:ext uri="{FF2B5EF4-FFF2-40B4-BE49-F238E27FC236}">
              <a16:creationId xmlns:a16="http://schemas.microsoft.com/office/drawing/2014/main" id="{00000000-0008-0000-1300-0000AEF6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53519" name="Line 52">
          <a:extLst>
            <a:ext uri="{FF2B5EF4-FFF2-40B4-BE49-F238E27FC236}">
              <a16:creationId xmlns:a16="http://schemas.microsoft.com/office/drawing/2014/main" id="{00000000-0008-0000-1300-0000AFF6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53520" name="Line 53">
          <a:extLst>
            <a:ext uri="{FF2B5EF4-FFF2-40B4-BE49-F238E27FC236}">
              <a16:creationId xmlns:a16="http://schemas.microsoft.com/office/drawing/2014/main" id="{00000000-0008-0000-1300-0000B0F62600}"/>
            </a:ext>
          </a:extLst>
        </xdr:cNvPr>
        <xdr:cNvSpPr>
          <a:spLocks noChangeShapeType="1"/>
        </xdr:cNvSpPr>
      </xdr:nvSpPr>
      <xdr:spPr bwMode="auto">
        <a:xfrm flipV="1">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53521" name="Line 54">
          <a:extLst>
            <a:ext uri="{FF2B5EF4-FFF2-40B4-BE49-F238E27FC236}">
              <a16:creationId xmlns:a16="http://schemas.microsoft.com/office/drawing/2014/main" id="{00000000-0008-0000-1300-0000B1F62600}"/>
            </a:ext>
          </a:extLst>
        </xdr:cNvPr>
        <xdr:cNvSpPr>
          <a:spLocks noChangeShapeType="1"/>
        </xdr:cNvSpPr>
      </xdr:nvSpPr>
      <xdr:spPr bwMode="auto">
        <a:xfrm>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53522" name="Line 58">
          <a:extLst>
            <a:ext uri="{FF2B5EF4-FFF2-40B4-BE49-F238E27FC236}">
              <a16:creationId xmlns:a16="http://schemas.microsoft.com/office/drawing/2014/main" id="{00000000-0008-0000-1300-0000B2F6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53523" name="Line 59">
          <a:extLst>
            <a:ext uri="{FF2B5EF4-FFF2-40B4-BE49-F238E27FC236}">
              <a16:creationId xmlns:a16="http://schemas.microsoft.com/office/drawing/2014/main" id="{00000000-0008-0000-1300-0000B3F6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53524" name="Line 129">
          <a:extLst>
            <a:ext uri="{FF2B5EF4-FFF2-40B4-BE49-F238E27FC236}">
              <a16:creationId xmlns:a16="http://schemas.microsoft.com/office/drawing/2014/main" id="{00000000-0008-0000-1300-0000B4F62600}"/>
            </a:ext>
          </a:extLst>
        </xdr:cNvPr>
        <xdr:cNvSpPr>
          <a:spLocks noChangeShapeType="1"/>
        </xdr:cNvSpPr>
      </xdr:nvSpPr>
      <xdr:spPr bwMode="auto">
        <a:xfrm flipV="1">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53525" name="Line 130">
          <a:extLst>
            <a:ext uri="{FF2B5EF4-FFF2-40B4-BE49-F238E27FC236}">
              <a16:creationId xmlns:a16="http://schemas.microsoft.com/office/drawing/2014/main" id="{00000000-0008-0000-1300-0000B5F62600}"/>
            </a:ext>
          </a:extLst>
        </xdr:cNvPr>
        <xdr:cNvSpPr>
          <a:spLocks noChangeShapeType="1"/>
        </xdr:cNvSpPr>
      </xdr:nvSpPr>
      <xdr:spPr bwMode="auto">
        <a:xfrm>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53526" name="Line 131">
          <a:extLst>
            <a:ext uri="{FF2B5EF4-FFF2-40B4-BE49-F238E27FC236}">
              <a16:creationId xmlns:a16="http://schemas.microsoft.com/office/drawing/2014/main" id="{00000000-0008-0000-1300-0000B6F626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53527" name="Line 132">
          <a:extLst>
            <a:ext uri="{FF2B5EF4-FFF2-40B4-BE49-F238E27FC236}">
              <a16:creationId xmlns:a16="http://schemas.microsoft.com/office/drawing/2014/main" id="{00000000-0008-0000-1300-0000B7F626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53528" name="Line 133">
          <a:extLst>
            <a:ext uri="{FF2B5EF4-FFF2-40B4-BE49-F238E27FC236}">
              <a16:creationId xmlns:a16="http://schemas.microsoft.com/office/drawing/2014/main" id="{00000000-0008-0000-1300-0000B8F626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53529" name="Line 134">
          <a:extLst>
            <a:ext uri="{FF2B5EF4-FFF2-40B4-BE49-F238E27FC236}">
              <a16:creationId xmlns:a16="http://schemas.microsoft.com/office/drawing/2014/main" id="{00000000-0008-0000-1300-0000B9F626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30" name="Line 135">
          <a:extLst>
            <a:ext uri="{FF2B5EF4-FFF2-40B4-BE49-F238E27FC236}">
              <a16:creationId xmlns:a16="http://schemas.microsoft.com/office/drawing/2014/main" id="{00000000-0008-0000-1300-0000BA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24</xdr:row>
      <xdr:rowOff>0</xdr:rowOff>
    </xdr:to>
    <xdr:sp macro="" textlink="">
      <xdr:nvSpPr>
        <xdr:cNvPr id="2553531" name="Line 136">
          <a:extLst>
            <a:ext uri="{FF2B5EF4-FFF2-40B4-BE49-F238E27FC236}">
              <a16:creationId xmlns:a16="http://schemas.microsoft.com/office/drawing/2014/main" id="{00000000-0008-0000-1300-0000BBF626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53532" name="Line 141">
          <a:extLst>
            <a:ext uri="{FF2B5EF4-FFF2-40B4-BE49-F238E27FC236}">
              <a16:creationId xmlns:a16="http://schemas.microsoft.com/office/drawing/2014/main" id="{00000000-0008-0000-1300-0000BCF62600}"/>
            </a:ext>
          </a:extLst>
        </xdr:cNvPr>
        <xdr:cNvSpPr>
          <a:spLocks noChangeShapeType="1"/>
        </xdr:cNvSpPr>
      </xdr:nvSpPr>
      <xdr:spPr bwMode="auto">
        <a:xfrm flipV="1">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53533" name="Line 142">
          <a:extLst>
            <a:ext uri="{FF2B5EF4-FFF2-40B4-BE49-F238E27FC236}">
              <a16:creationId xmlns:a16="http://schemas.microsoft.com/office/drawing/2014/main" id="{00000000-0008-0000-1300-0000BDF62600}"/>
            </a:ext>
          </a:extLst>
        </xdr:cNvPr>
        <xdr:cNvSpPr>
          <a:spLocks noChangeShapeType="1"/>
        </xdr:cNvSpPr>
      </xdr:nvSpPr>
      <xdr:spPr bwMode="auto">
        <a:xfrm>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34" name="Line 612">
          <a:extLst>
            <a:ext uri="{FF2B5EF4-FFF2-40B4-BE49-F238E27FC236}">
              <a16:creationId xmlns:a16="http://schemas.microsoft.com/office/drawing/2014/main" id="{00000000-0008-0000-1300-0000BE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0</xdr:col>
      <xdr:colOff>0</xdr:colOff>
      <xdr:row>6</xdr:row>
      <xdr:rowOff>0</xdr:rowOff>
    </xdr:from>
    <xdr:to>
      <xdr:col>3</xdr:col>
      <xdr:colOff>0</xdr:colOff>
      <xdr:row>7</xdr:row>
      <xdr:rowOff>0</xdr:rowOff>
    </xdr:to>
    <xdr:sp macro="" textlink="">
      <xdr:nvSpPr>
        <xdr:cNvPr id="435757" name="Text Box 5677">
          <a:hlinkClick xmlns:r="http://schemas.openxmlformats.org/officeDocument/2006/relationships" r:id="rId1"/>
          <a:extLst>
            <a:ext uri="{FF2B5EF4-FFF2-40B4-BE49-F238E27FC236}">
              <a16:creationId xmlns:a16="http://schemas.microsoft.com/office/drawing/2014/main" id="{00000000-0008-0000-1300-00002DA60600}"/>
            </a:ext>
          </a:extLst>
        </xdr:cNvPr>
        <xdr:cNvSpPr txBox="1">
          <a:spLocks noChangeArrowheads="1"/>
        </xdr:cNvSpPr>
      </xdr:nvSpPr>
      <xdr:spPr bwMode="auto">
        <a:xfrm>
          <a:off x="0" y="774700"/>
          <a:ext cx="1714500" cy="2794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zur Startseite</a:t>
          </a:r>
        </a:p>
      </xdr:txBody>
    </xdr:sp>
    <xdr:clientData fPrintsWithSheet="0"/>
  </xdr:twoCellAnchor>
  <xdr:twoCellAnchor>
    <xdr:from>
      <xdr:col>0</xdr:col>
      <xdr:colOff>0</xdr:colOff>
      <xdr:row>8</xdr:row>
      <xdr:rowOff>0</xdr:rowOff>
    </xdr:from>
    <xdr:to>
      <xdr:col>3</xdr:col>
      <xdr:colOff>0</xdr:colOff>
      <xdr:row>9</xdr:row>
      <xdr:rowOff>0</xdr:rowOff>
    </xdr:to>
    <xdr:sp macro="" textlink="">
      <xdr:nvSpPr>
        <xdr:cNvPr id="435758" name="Text Box 5678">
          <a:hlinkClick xmlns:r="http://schemas.openxmlformats.org/officeDocument/2006/relationships" r:id="rId2"/>
          <a:extLst>
            <a:ext uri="{FF2B5EF4-FFF2-40B4-BE49-F238E27FC236}">
              <a16:creationId xmlns:a16="http://schemas.microsoft.com/office/drawing/2014/main" id="{00000000-0008-0000-1300-00002EA60600}"/>
            </a:ext>
          </a:extLst>
        </xdr:cNvPr>
        <xdr:cNvSpPr txBox="1">
          <a:spLocks noChangeArrowheads="1"/>
        </xdr:cNvSpPr>
      </xdr:nvSpPr>
      <xdr:spPr bwMode="auto">
        <a:xfrm>
          <a:off x="0" y="13335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 weiter &gt;</a:t>
          </a:r>
        </a:p>
      </xdr:txBody>
    </xdr:sp>
    <xdr:clientData fPrintsWithSheet="0"/>
  </xdr:twoCellAnchor>
  <xdr:twoCellAnchor>
    <xdr:from>
      <xdr:col>0</xdr:col>
      <xdr:colOff>0</xdr:colOff>
      <xdr:row>10</xdr:row>
      <xdr:rowOff>0</xdr:rowOff>
    </xdr:from>
    <xdr:to>
      <xdr:col>3</xdr:col>
      <xdr:colOff>0</xdr:colOff>
      <xdr:row>11</xdr:row>
      <xdr:rowOff>0</xdr:rowOff>
    </xdr:to>
    <xdr:sp macro="" textlink="">
      <xdr:nvSpPr>
        <xdr:cNvPr id="435759" name="Text Box 5679">
          <a:hlinkClick xmlns:r="http://schemas.openxmlformats.org/officeDocument/2006/relationships" r:id="rId3"/>
          <a:extLst>
            <a:ext uri="{FF2B5EF4-FFF2-40B4-BE49-F238E27FC236}">
              <a16:creationId xmlns:a16="http://schemas.microsoft.com/office/drawing/2014/main" id="{00000000-0008-0000-1300-00002FA60600}"/>
            </a:ext>
          </a:extLst>
        </xdr:cNvPr>
        <xdr:cNvSpPr txBox="1">
          <a:spLocks noChangeArrowheads="1"/>
        </xdr:cNvSpPr>
      </xdr:nvSpPr>
      <xdr:spPr bwMode="auto">
        <a:xfrm>
          <a:off x="0" y="18923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&lt; zurück</a:t>
          </a:r>
        </a:p>
      </xdr:txBody>
    </xdr:sp>
    <xdr:clientData fPrintsWithSheet="0"/>
  </xdr:twoCellAnchor>
  <xdr:twoCellAnchor>
    <xdr:from>
      <xdr:col>1</xdr:col>
      <xdr:colOff>12700</xdr:colOff>
      <xdr:row>24</xdr:row>
      <xdr:rowOff>0</xdr:rowOff>
    </xdr:from>
    <xdr:to>
      <xdr:col>2</xdr:col>
      <xdr:colOff>12700</xdr:colOff>
      <xdr:row>24</xdr:row>
      <xdr:rowOff>0</xdr:rowOff>
    </xdr:to>
    <xdr:sp macro="" textlink="">
      <xdr:nvSpPr>
        <xdr:cNvPr id="2553538" name="Line 135">
          <a:extLst>
            <a:ext uri="{FF2B5EF4-FFF2-40B4-BE49-F238E27FC236}">
              <a16:creationId xmlns:a16="http://schemas.microsoft.com/office/drawing/2014/main" id="{00000000-0008-0000-1300-0000C2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39" name="Line 331">
          <a:extLst>
            <a:ext uri="{FF2B5EF4-FFF2-40B4-BE49-F238E27FC236}">
              <a16:creationId xmlns:a16="http://schemas.microsoft.com/office/drawing/2014/main" id="{00000000-0008-0000-1300-0000C3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40" name="Line 135">
          <a:extLst>
            <a:ext uri="{FF2B5EF4-FFF2-40B4-BE49-F238E27FC236}">
              <a16:creationId xmlns:a16="http://schemas.microsoft.com/office/drawing/2014/main" id="{00000000-0008-0000-1300-0000C4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41" name="Line 330">
          <a:extLst>
            <a:ext uri="{FF2B5EF4-FFF2-40B4-BE49-F238E27FC236}">
              <a16:creationId xmlns:a16="http://schemas.microsoft.com/office/drawing/2014/main" id="{00000000-0008-0000-1300-0000C5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42" name="Line 330">
          <a:extLst>
            <a:ext uri="{FF2B5EF4-FFF2-40B4-BE49-F238E27FC236}">
              <a16:creationId xmlns:a16="http://schemas.microsoft.com/office/drawing/2014/main" id="{00000000-0008-0000-1300-0000C6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43" name="Line 135">
          <a:extLst>
            <a:ext uri="{FF2B5EF4-FFF2-40B4-BE49-F238E27FC236}">
              <a16:creationId xmlns:a16="http://schemas.microsoft.com/office/drawing/2014/main" id="{00000000-0008-0000-1300-0000C7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44" name="Line 612">
          <a:extLst>
            <a:ext uri="{FF2B5EF4-FFF2-40B4-BE49-F238E27FC236}">
              <a16:creationId xmlns:a16="http://schemas.microsoft.com/office/drawing/2014/main" id="{00000000-0008-0000-1300-0000C8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45" name="Line 135">
          <a:extLst>
            <a:ext uri="{FF2B5EF4-FFF2-40B4-BE49-F238E27FC236}">
              <a16:creationId xmlns:a16="http://schemas.microsoft.com/office/drawing/2014/main" id="{00000000-0008-0000-1300-0000C9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46" name="Line 330">
          <a:extLst>
            <a:ext uri="{FF2B5EF4-FFF2-40B4-BE49-F238E27FC236}">
              <a16:creationId xmlns:a16="http://schemas.microsoft.com/office/drawing/2014/main" id="{00000000-0008-0000-1300-0000CA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47" name="Line 135">
          <a:extLst>
            <a:ext uri="{FF2B5EF4-FFF2-40B4-BE49-F238E27FC236}">
              <a16:creationId xmlns:a16="http://schemas.microsoft.com/office/drawing/2014/main" id="{00000000-0008-0000-1300-0000CB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48" name="Line 330">
          <a:extLst>
            <a:ext uri="{FF2B5EF4-FFF2-40B4-BE49-F238E27FC236}">
              <a16:creationId xmlns:a16="http://schemas.microsoft.com/office/drawing/2014/main" id="{00000000-0008-0000-1300-0000CC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49" name="Line 330">
          <a:extLst>
            <a:ext uri="{FF2B5EF4-FFF2-40B4-BE49-F238E27FC236}">
              <a16:creationId xmlns:a16="http://schemas.microsoft.com/office/drawing/2014/main" id="{00000000-0008-0000-1300-0000CD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50" name="Line 135">
          <a:extLst>
            <a:ext uri="{FF2B5EF4-FFF2-40B4-BE49-F238E27FC236}">
              <a16:creationId xmlns:a16="http://schemas.microsoft.com/office/drawing/2014/main" id="{00000000-0008-0000-1300-0000CE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51" name="Line 612">
          <a:extLst>
            <a:ext uri="{FF2B5EF4-FFF2-40B4-BE49-F238E27FC236}">
              <a16:creationId xmlns:a16="http://schemas.microsoft.com/office/drawing/2014/main" id="{00000000-0008-0000-1300-0000CF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52" name="Line 135">
          <a:extLst>
            <a:ext uri="{FF2B5EF4-FFF2-40B4-BE49-F238E27FC236}">
              <a16:creationId xmlns:a16="http://schemas.microsoft.com/office/drawing/2014/main" id="{00000000-0008-0000-1300-0000D0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53" name="Line 331">
          <a:extLst>
            <a:ext uri="{FF2B5EF4-FFF2-40B4-BE49-F238E27FC236}">
              <a16:creationId xmlns:a16="http://schemas.microsoft.com/office/drawing/2014/main" id="{00000000-0008-0000-1300-0000D1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54" name="Line 135">
          <a:extLst>
            <a:ext uri="{FF2B5EF4-FFF2-40B4-BE49-F238E27FC236}">
              <a16:creationId xmlns:a16="http://schemas.microsoft.com/office/drawing/2014/main" id="{00000000-0008-0000-1300-0000D2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55" name="Line 330">
          <a:extLst>
            <a:ext uri="{FF2B5EF4-FFF2-40B4-BE49-F238E27FC236}">
              <a16:creationId xmlns:a16="http://schemas.microsoft.com/office/drawing/2014/main" id="{00000000-0008-0000-1300-0000D3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56" name="Line 330">
          <a:extLst>
            <a:ext uri="{FF2B5EF4-FFF2-40B4-BE49-F238E27FC236}">
              <a16:creationId xmlns:a16="http://schemas.microsoft.com/office/drawing/2014/main" id="{00000000-0008-0000-1300-0000D4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57" name="Line 135">
          <a:extLst>
            <a:ext uri="{FF2B5EF4-FFF2-40B4-BE49-F238E27FC236}">
              <a16:creationId xmlns:a16="http://schemas.microsoft.com/office/drawing/2014/main" id="{00000000-0008-0000-1300-0000D5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58" name="Line 612">
          <a:extLst>
            <a:ext uri="{FF2B5EF4-FFF2-40B4-BE49-F238E27FC236}">
              <a16:creationId xmlns:a16="http://schemas.microsoft.com/office/drawing/2014/main" id="{00000000-0008-0000-1300-0000D6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59" name="Line 135">
          <a:extLst>
            <a:ext uri="{FF2B5EF4-FFF2-40B4-BE49-F238E27FC236}">
              <a16:creationId xmlns:a16="http://schemas.microsoft.com/office/drawing/2014/main" id="{00000000-0008-0000-1300-0000D7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60" name="Line 330">
          <a:extLst>
            <a:ext uri="{FF2B5EF4-FFF2-40B4-BE49-F238E27FC236}">
              <a16:creationId xmlns:a16="http://schemas.microsoft.com/office/drawing/2014/main" id="{00000000-0008-0000-1300-0000D8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61" name="Line 135">
          <a:extLst>
            <a:ext uri="{FF2B5EF4-FFF2-40B4-BE49-F238E27FC236}">
              <a16:creationId xmlns:a16="http://schemas.microsoft.com/office/drawing/2014/main" id="{00000000-0008-0000-1300-0000D9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62" name="Line 330">
          <a:extLst>
            <a:ext uri="{FF2B5EF4-FFF2-40B4-BE49-F238E27FC236}">
              <a16:creationId xmlns:a16="http://schemas.microsoft.com/office/drawing/2014/main" id="{00000000-0008-0000-1300-0000DA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63" name="Line 330">
          <a:extLst>
            <a:ext uri="{FF2B5EF4-FFF2-40B4-BE49-F238E27FC236}">
              <a16:creationId xmlns:a16="http://schemas.microsoft.com/office/drawing/2014/main" id="{00000000-0008-0000-1300-0000DB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64" name="Line 135">
          <a:extLst>
            <a:ext uri="{FF2B5EF4-FFF2-40B4-BE49-F238E27FC236}">
              <a16:creationId xmlns:a16="http://schemas.microsoft.com/office/drawing/2014/main" id="{00000000-0008-0000-1300-0000DC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65" name="Line 612">
          <a:extLst>
            <a:ext uri="{FF2B5EF4-FFF2-40B4-BE49-F238E27FC236}">
              <a16:creationId xmlns:a16="http://schemas.microsoft.com/office/drawing/2014/main" id="{00000000-0008-0000-1300-0000DD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66" name="Line 135">
          <a:extLst>
            <a:ext uri="{FF2B5EF4-FFF2-40B4-BE49-F238E27FC236}">
              <a16:creationId xmlns:a16="http://schemas.microsoft.com/office/drawing/2014/main" id="{00000000-0008-0000-1300-0000DE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67" name="Line 330">
          <a:extLst>
            <a:ext uri="{FF2B5EF4-FFF2-40B4-BE49-F238E27FC236}">
              <a16:creationId xmlns:a16="http://schemas.microsoft.com/office/drawing/2014/main" id="{00000000-0008-0000-1300-0000DF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68" name="Line 330">
          <a:extLst>
            <a:ext uri="{FF2B5EF4-FFF2-40B4-BE49-F238E27FC236}">
              <a16:creationId xmlns:a16="http://schemas.microsoft.com/office/drawing/2014/main" id="{00000000-0008-0000-1300-0000E0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69" name="Line 135">
          <a:extLst>
            <a:ext uri="{FF2B5EF4-FFF2-40B4-BE49-F238E27FC236}">
              <a16:creationId xmlns:a16="http://schemas.microsoft.com/office/drawing/2014/main" id="{00000000-0008-0000-1300-0000E1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70" name="Line 612">
          <a:extLst>
            <a:ext uri="{FF2B5EF4-FFF2-40B4-BE49-F238E27FC236}">
              <a16:creationId xmlns:a16="http://schemas.microsoft.com/office/drawing/2014/main" id="{00000000-0008-0000-1300-0000E2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71" name="Line 330">
          <a:extLst>
            <a:ext uri="{FF2B5EF4-FFF2-40B4-BE49-F238E27FC236}">
              <a16:creationId xmlns:a16="http://schemas.microsoft.com/office/drawing/2014/main" id="{00000000-0008-0000-1300-0000E3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72" name="Line 135">
          <a:extLst>
            <a:ext uri="{FF2B5EF4-FFF2-40B4-BE49-F238E27FC236}">
              <a16:creationId xmlns:a16="http://schemas.microsoft.com/office/drawing/2014/main" id="{00000000-0008-0000-1300-0000E4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73" name="Line 612">
          <a:extLst>
            <a:ext uri="{FF2B5EF4-FFF2-40B4-BE49-F238E27FC236}">
              <a16:creationId xmlns:a16="http://schemas.microsoft.com/office/drawing/2014/main" id="{00000000-0008-0000-1300-0000E5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12700</xdr:colOff>
      <xdr:row>24</xdr:row>
      <xdr:rowOff>0</xdr:rowOff>
    </xdr:from>
    <xdr:to>
      <xdr:col>2</xdr:col>
      <xdr:colOff>12700</xdr:colOff>
      <xdr:row>24</xdr:row>
      <xdr:rowOff>0</xdr:rowOff>
    </xdr:to>
    <xdr:sp macro="" textlink="">
      <xdr:nvSpPr>
        <xdr:cNvPr id="2587802" name="Line 135">
          <a:extLst>
            <a:ext uri="{FF2B5EF4-FFF2-40B4-BE49-F238E27FC236}">
              <a16:creationId xmlns:a16="http://schemas.microsoft.com/office/drawing/2014/main" id="{00000000-0008-0000-1400-00009A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03" name="Line 330">
          <a:extLst>
            <a:ext uri="{FF2B5EF4-FFF2-40B4-BE49-F238E27FC236}">
              <a16:creationId xmlns:a16="http://schemas.microsoft.com/office/drawing/2014/main" id="{00000000-0008-0000-1400-00009B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04" name="Line 135">
          <a:extLst>
            <a:ext uri="{FF2B5EF4-FFF2-40B4-BE49-F238E27FC236}">
              <a16:creationId xmlns:a16="http://schemas.microsoft.com/office/drawing/2014/main" id="{00000000-0008-0000-1400-00009C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05" name="Line 330">
          <a:extLst>
            <a:ext uri="{FF2B5EF4-FFF2-40B4-BE49-F238E27FC236}">
              <a16:creationId xmlns:a16="http://schemas.microsoft.com/office/drawing/2014/main" id="{00000000-0008-0000-1400-00009D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06" name="Line 330">
          <a:extLst>
            <a:ext uri="{FF2B5EF4-FFF2-40B4-BE49-F238E27FC236}">
              <a16:creationId xmlns:a16="http://schemas.microsoft.com/office/drawing/2014/main" id="{00000000-0008-0000-1400-00009E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87807" name="Line 4">
          <a:extLst>
            <a:ext uri="{FF2B5EF4-FFF2-40B4-BE49-F238E27FC236}">
              <a16:creationId xmlns:a16="http://schemas.microsoft.com/office/drawing/2014/main" id="{00000000-0008-0000-1400-00009F7C2700}"/>
            </a:ext>
          </a:extLst>
        </xdr:cNvPr>
        <xdr:cNvSpPr>
          <a:spLocks noChangeShapeType="1"/>
        </xdr:cNvSpPr>
      </xdr:nvSpPr>
      <xdr:spPr bwMode="auto">
        <a:xfrm>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87808" name="Line 5">
          <a:extLst>
            <a:ext uri="{FF2B5EF4-FFF2-40B4-BE49-F238E27FC236}">
              <a16:creationId xmlns:a16="http://schemas.microsoft.com/office/drawing/2014/main" id="{00000000-0008-0000-1400-0000A07C2700}"/>
            </a:ext>
          </a:extLst>
        </xdr:cNvPr>
        <xdr:cNvSpPr>
          <a:spLocks noChangeShapeType="1"/>
        </xdr:cNvSpPr>
      </xdr:nvSpPr>
      <xdr:spPr bwMode="auto">
        <a:xfrm flipV="1">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87809" name="Line 8">
          <a:extLst>
            <a:ext uri="{FF2B5EF4-FFF2-40B4-BE49-F238E27FC236}">
              <a16:creationId xmlns:a16="http://schemas.microsoft.com/office/drawing/2014/main" id="{00000000-0008-0000-1400-0000A17C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87810" name="Line 9">
          <a:extLst>
            <a:ext uri="{FF2B5EF4-FFF2-40B4-BE49-F238E27FC236}">
              <a16:creationId xmlns:a16="http://schemas.microsoft.com/office/drawing/2014/main" id="{00000000-0008-0000-1400-0000A27C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87811" name="Line 10">
          <a:extLst>
            <a:ext uri="{FF2B5EF4-FFF2-40B4-BE49-F238E27FC236}">
              <a16:creationId xmlns:a16="http://schemas.microsoft.com/office/drawing/2014/main" id="{00000000-0008-0000-1400-0000A37C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87812" name="Line 11">
          <a:extLst>
            <a:ext uri="{FF2B5EF4-FFF2-40B4-BE49-F238E27FC236}">
              <a16:creationId xmlns:a16="http://schemas.microsoft.com/office/drawing/2014/main" id="{00000000-0008-0000-1400-0000A47C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87813" name="Line 20">
          <a:extLst>
            <a:ext uri="{FF2B5EF4-FFF2-40B4-BE49-F238E27FC236}">
              <a16:creationId xmlns:a16="http://schemas.microsoft.com/office/drawing/2014/main" id="{00000000-0008-0000-1400-0000A57C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87814" name="Line 21">
          <a:extLst>
            <a:ext uri="{FF2B5EF4-FFF2-40B4-BE49-F238E27FC236}">
              <a16:creationId xmlns:a16="http://schemas.microsoft.com/office/drawing/2014/main" id="{00000000-0008-0000-1400-0000A67C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87815" name="Line 22">
          <a:extLst>
            <a:ext uri="{FF2B5EF4-FFF2-40B4-BE49-F238E27FC236}">
              <a16:creationId xmlns:a16="http://schemas.microsoft.com/office/drawing/2014/main" id="{00000000-0008-0000-1400-0000A77C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87816" name="Line 23">
          <a:extLst>
            <a:ext uri="{FF2B5EF4-FFF2-40B4-BE49-F238E27FC236}">
              <a16:creationId xmlns:a16="http://schemas.microsoft.com/office/drawing/2014/main" id="{00000000-0008-0000-1400-0000A87C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87817" name="Line 26">
          <a:extLst>
            <a:ext uri="{FF2B5EF4-FFF2-40B4-BE49-F238E27FC236}">
              <a16:creationId xmlns:a16="http://schemas.microsoft.com/office/drawing/2014/main" id="{00000000-0008-0000-1400-0000A97C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87818" name="Line 27">
          <a:extLst>
            <a:ext uri="{FF2B5EF4-FFF2-40B4-BE49-F238E27FC236}">
              <a16:creationId xmlns:a16="http://schemas.microsoft.com/office/drawing/2014/main" id="{00000000-0008-0000-1400-0000AA7C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87819" name="Line 28">
          <a:extLst>
            <a:ext uri="{FF2B5EF4-FFF2-40B4-BE49-F238E27FC236}">
              <a16:creationId xmlns:a16="http://schemas.microsoft.com/office/drawing/2014/main" id="{00000000-0008-0000-1400-0000AB7C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87820" name="Line 29">
          <a:extLst>
            <a:ext uri="{FF2B5EF4-FFF2-40B4-BE49-F238E27FC236}">
              <a16:creationId xmlns:a16="http://schemas.microsoft.com/office/drawing/2014/main" id="{00000000-0008-0000-1400-0000AC7C2700}"/>
            </a:ext>
          </a:extLst>
        </xdr:cNvPr>
        <xdr:cNvSpPr>
          <a:spLocks noChangeShapeType="1"/>
        </xdr:cNvSpPr>
      </xdr:nvSpPr>
      <xdr:spPr bwMode="auto">
        <a:xfrm>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87821" name="Line 30">
          <a:extLst>
            <a:ext uri="{FF2B5EF4-FFF2-40B4-BE49-F238E27FC236}">
              <a16:creationId xmlns:a16="http://schemas.microsoft.com/office/drawing/2014/main" id="{00000000-0008-0000-1400-0000AD7C2700}"/>
            </a:ext>
          </a:extLst>
        </xdr:cNvPr>
        <xdr:cNvSpPr>
          <a:spLocks noChangeShapeType="1"/>
        </xdr:cNvSpPr>
      </xdr:nvSpPr>
      <xdr:spPr bwMode="auto">
        <a:xfrm flipV="1">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87822" name="Line 31">
          <a:extLst>
            <a:ext uri="{FF2B5EF4-FFF2-40B4-BE49-F238E27FC236}">
              <a16:creationId xmlns:a16="http://schemas.microsoft.com/office/drawing/2014/main" id="{00000000-0008-0000-1400-0000AE7C2700}"/>
            </a:ext>
          </a:extLst>
        </xdr:cNvPr>
        <xdr:cNvSpPr>
          <a:spLocks noChangeShapeType="1"/>
        </xdr:cNvSpPr>
      </xdr:nvSpPr>
      <xdr:spPr bwMode="auto">
        <a:xfrm>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87823" name="Line 32">
          <a:extLst>
            <a:ext uri="{FF2B5EF4-FFF2-40B4-BE49-F238E27FC236}">
              <a16:creationId xmlns:a16="http://schemas.microsoft.com/office/drawing/2014/main" id="{00000000-0008-0000-1400-0000AF7C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87824" name="Line 33">
          <a:extLst>
            <a:ext uri="{FF2B5EF4-FFF2-40B4-BE49-F238E27FC236}">
              <a16:creationId xmlns:a16="http://schemas.microsoft.com/office/drawing/2014/main" id="{00000000-0008-0000-1400-0000B07C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87825" name="Line 34">
          <a:extLst>
            <a:ext uri="{FF2B5EF4-FFF2-40B4-BE49-F238E27FC236}">
              <a16:creationId xmlns:a16="http://schemas.microsoft.com/office/drawing/2014/main" id="{00000000-0008-0000-1400-0000B17C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87826" name="Line 35">
          <a:extLst>
            <a:ext uri="{FF2B5EF4-FFF2-40B4-BE49-F238E27FC236}">
              <a16:creationId xmlns:a16="http://schemas.microsoft.com/office/drawing/2014/main" id="{00000000-0008-0000-1400-0000B27C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27</xdr:row>
      <xdr:rowOff>0</xdr:rowOff>
    </xdr:to>
    <xdr:sp macro="" textlink="">
      <xdr:nvSpPr>
        <xdr:cNvPr id="2587827" name="Line 36">
          <a:extLst>
            <a:ext uri="{FF2B5EF4-FFF2-40B4-BE49-F238E27FC236}">
              <a16:creationId xmlns:a16="http://schemas.microsoft.com/office/drawing/2014/main" id="{00000000-0008-0000-1400-0000B37C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87828" name="Line 38">
          <a:extLst>
            <a:ext uri="{FF2B5EF4-FFF2-40B4-BE49-F238E27FC236}">
              <a16:creationId xmlns:a16="http://schemas.microsoft.com/office/drawing/2014/main" id="{00000000-0008-0000-1400-0000B47C2700}"/>
            </a:ext>
          </a:extLst>
        </xdr:cNvPr>
        <xdr:cNvSpPr>
          <a:spLocks noChangeShapeType="1"/>
        </xdr:cNvSpPr>
      </xdr:nvSpPr>
      <xdr:spPr bwMode="auto">
        <a:xfrm flipV="1">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87829" name="Line 39">
          <a:extLst>
            <a:ext uri="{FF2B5EF4-FFF2-40B4-BE49-F238E27FC236}">
              <a16:creationId xmlns:a16="http://schemas.microsoft.com/office/drawing/2014/main" id="{00000000-0008-0000-1400-0000B57C2700}"/>
            </a:ext>
          </a:extLst>
        </xdr:cNvPr>
        <xdr:cNvSpPr>
          <a:spLocks noChangeShapeType="1"/>
        </xdr:cNvSpPr>
      </xdr:nvSpPr>
      <xdr:spPr bwMode="auto">
        <a:xfrm>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87830" name="Line 40">
          <a:extLst>
            <a:ext uri="{FF2B5EF4-FFF2-40B4-BE49-F238E27FC236}">
              <a16:creationId xmlns:a16="http://schemas.microsoft.com/office/drawing/2014/main" id="{00000000-0008-0000-1400-0000B67C2700}"/>
            </a:ext>
          </a:extLst>
        </xdr:cNvPr>
        <xdr:cNvSpPr>
          <a:spLocks noChangeShapeType="1"/>
        </xdr:cNvSpPr>
      </xdr:nvSpPr>
      <xdr:spPr bwMode="auto">
        <a:xfrm flipV="1">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87831" name="Line 41">
          <a:extLst>
            <a:ext uri="{FF2B5EF4-FFF2-40B4-BE49-F238E27FC236}">
              <a16:creationId xmlns:a16="http://schemas.microsoft.com/office/drawing/2014/main" id="{00000000-0008-0000-1400-0000B77C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87832" name="Line 42">
          <a:extLst>
            <a:ext uri="{FF2B5EF4-FFF2-40B4-BE49-F238E27FC236}">
              <a16:creationId xmlns:a16="http://schemas.microsoft.com/office/drawing/2014/main" id="{00000000-0008-0000-1400-0000B87C2700}"/>
            </a:ext>
          </a:extLst>
        </xdr:cNvPr>
        <xdr:cNvSpPr>
          <a:spLocks noChangeShapeType="1"/>
        </xdr:cNvSpPr>
      </xdr:nvSpPr>
      <xdr:spPr bwMode="auto">
        <a:xfrm flipV="1">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87833" name="Line 43">
          <a:extLst>
            <a:ext uri="{FF2B5EF4-FFF2-40B4-BE49-F238E27FC236}">
              <a16:creationId xmlns:a16="http://schemas.microsoft.com/office/drawing/2014/main" id="{00000000-0008-0000-1400-0000B97C2700}"/>
            </a:ext>
          </a:extLst>
        </xdr:cNvPr>
        <xdr:cNvSpPr>
          <a:spLocks noChangeShapeType="1"/>
        </xdr:cNvSpPr>
      </xdr:nvSpPr>
      <xdr:spPr bwMode="auto">
        <a:xfrm>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87834" name="Line 44">
          <a:extLst>
            <a:ext uri="{FF2B5EF4-FFF2-40B4-BE49-F238E27FC236}">
              <a16:creationId xmlns:a16="http://schemas.microsoft.com/office/drawing/2014/main" id="{00000000-0008-0000-1400-0000BA7C2700}"/>
            </a:ext>
          </a:extLst>
        </xdr:cNvPr>
        <xdr:cNvSpPr>
          <a:spLocks noChangeShapeType="1"/>
        </xdr:cNvSpPr>
      </xdr:nvSpPr>
      <xdr:spPr bwMode="auto">
        <a:xfrm flipV="1">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87835" name="Line 45">
          <a:extLst>
            <a:ext uri="{FF2B5EF4-FFF2-40B4-BE49-F238E27FC236}">
              <a16:creationId xmlns:a16="http://schemas.microsoft.com/office/drawing/2014/main" id="{00000000-0008-0000-1400-0000BB7C2700}"/>
            </a:ext>
          </a:extLst>
        </xdr:cNvPr>
        <xdr:cNvSpPr>
          <a:spLocks noChangeShapeType="1"/>
        </xdr:cNvSpPr>
      </xdr:nvSpPr>
      <xdr:spPr bwMode="auto">
        <a:xfrm>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87836" name="Line 46">
          <a:extLst>
            <a:ext uri="{FF2B5EF4-FFF2-40B4-BE49-F238E27FC236}">
              <a16:creationId xmlns:a16="http://schemas.microsoft.com/office/drawing/2014/main" id="{00000000-0008-0000-1400-0000BC7C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87837" name="Line 47">
          <a:extLst>
            <a:ext uri="{FF2B5EF4-FFF2-40B4-BE49-F238E27FC236}">
              <a16:creationId xmlns:a16="http://schemas.microsoft.com/office/drawing/2014/main" id="{00000000-0008-0000-1400-0000BD7C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87838" name="Line 49">
          <a:extLst>
            <a:ext uri="{FF2B5EF4-FFF2-40B4-BE49-F238E27FC236}">
              <a16:creationId xmlns:a16="http://schemas.microsoft.com/office/drawing/2014/main" id="{00000000-0008-0000-1400-0000BE7C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87839" name="Line 50">
          <a:extLst>
            <a:ext uri="{FF2B5EF4-FFF2-40B4-BE49-F238E27FC236}">
              <a16:creationId xmlns:a16="http://schemas.microsoft.com/office/drawing/2014/main" id="{00000000-0008-0000-1400-0000BF7C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87840" name="Line 51">
          <a:extLst>
            <a:ext uri="{FF2B5EF4-FFF2-40B4-BE49-F238E27FC236}">
              <a16:creationId xmlns:a16="http://schemas.microsoft.com/office/drawing/2014/main" id="{00000000-0008-0000-1400-0000C07C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87841" name="Line 52">
          <a:extLst>
            <a:ext uri="{FF2B5EF4-FFF2-40B4-BE49-F238E27FC236}">
              <a16:creationId xmlns:a16="http://schemas.microsoft.com/office/drawing/2014/main" id="{00000000-0008-0000-1400-0000C17C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87842" name="Line 53">
          <a:extLst>
            <a:ext uri="{FF2B5EF4-FFF2-40B4-BE49-F238E27FC236}">
              <a16:creationId xmlns:a16="http://schemas.microsoft.com/office/drawing/2014/main" id="{00000000-0008-0000-1400-0000C27C2700}"/>
            </a:ext>
          </a:extLst>
        </xdr:cNvPr>
        <xdr:cNvSpPr>
          <a:spLocks noChangeShapeType="1"/>
        </xdr:cNvSpPr>
      </xdr:nvSpPr>
      <xdr:spPr bwMode="auto">
        <a:xfrm flipV="1">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87843" name="Line 54">
          <a:extLst>
            <a:ext uri="{FF2B5EF4-FFF2-40B4-BE49-F238E27FC236}">
              <a16:creationId xmlns:a16="http://schemas.microsoft.com/office/drawing/2014/main" id="{00000000-0008-0000-1400-0000C37C2700}"/>
            </a:ext>
          </a:extLst>
        </xdr:cNvPr>
        <xdr:cNvSpPr>
          <a:spLocks noChangeShapeType="1"/>
        </xdr:cNvSpPr>
      </xdr:nvSpPr>
      <xdr:spPr bwMode="auto">
        <a:xfrm>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87844" name="Line 58">
          <a:extLst>
            <a:ext uri="{FF2B5EF4-FFF2-40B4-BE49-F238E27FC236}">
              <a16:creationId xmlns:a16="http://schemas.microsoft.com/office/drawing/2014/main" id="{00000000-0008-0000-1400-0000C47C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87845" name="Line 59">
          <a:extLst>
            <a:ext uri="{FF2B5EF4-FFF2-40B4-BE49-F238E27FC236}">
              <a16:creationId xmlns:a16="http://schemas.microsoft.com/office/drawing/2014/main" id="{00000000-0008-0000-1400-0000C57C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87846" name="Line 129">
          <a:extLst>
            <a:ext uri="{FF2B5EF4-FFF2-40B4-BE49-F238E27FC236}">
              <a16:creationId xmlns:a16="http://schemas.microsoft.com/office/drawing/2014/main" id="{00000000-0008-0000-1400-0000C67C2700}"/>
            </a:ext>
          </a:extLst>
        </xdr:cNvPr>
        <xdr:cNvSpPr>
          <a:spLocks noChangeShapeType="1"/>
        </xdr:cNvSpPr>
      </xdr:nvSpPr>
      <xdr:spPr bwMode="auto">
        <a:xfrm flipV="1">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87847" name="Line 130">
          <a:extLst>
            <a:ext uri="{FF2B5EF4-FFF2-40B4-BE49-F238E27FC236}">
              <a16:creationId xmlns:a16="http://schemas.microsoft.com/office/drawing/2014/main" id="{00000000-0008-0000-1400-0000C77C2700}"/>
            </a:ext>
          </a:extLst>
        </xdr:cNvPr>
        <xdr:cNvSpPr>
          <a:spLocks noChangeShapeType="1"/>
        </xdr:cNvSpPr>
      </xdr:nvSpPr>
      <xdr:spPr bwMode="auto">
        <a:xfrm>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87848" name="Line 131">
          <a:extLst>
            <a:ext uri="{FF2B5EF4-FFF2-40B4-BE49-F238E27FC236}">
              <a16:creationId xmlns:a16="http://schemas.microsoft.com/office/drawing/2014/main" id="{00000000-0008-0000-1400-0000C87C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87849" name="Line 132">
          <a:extLst>
            <a:ext uri="{FF2B5EF4-FFF2-40B4-BE49-F238E27FC236}">
              <a16:creationId xmlns:a16="http://schemas.microsoft.com/office/drawing/2014/main" id="{00000000-0008-0000-1400-0000C97C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87850" name="Line 133">
          <a:extLst>
            <a:ext uri="{FF2B5EF4-FFF2-40B4-BE49-F238E27FC236}">
              <a16:creationId xmlns:a16="http://schemas.microsoft.com/office/drawing/2014/main" id="{00000000-0008-0000-1400-0000CA7C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87851" name="Line 134">
          <a:extLst>
            <a:ext uri="{FF2B5EF4-FFF2-40B4-BE49-F238E27FC236}">
              <a16:creationId xmlns:a16="http://schemas.microsoft.com/office/drawing/2014/main" id="{00000000-0008-0000-1400-0000CB7C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52" name="Line 135">
          <a:extLst>
            <a:ext uri="{FF2B5EF4-FFF2-40B4-BE49-F238E27FC236}">
              <a16:creationId xmlns:a16="http://schemas.microsoft.com/office/drawing/2014/main" id="{00000000-0008-0000-1400-0000CC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24</xdr:row>
      <xdr:rowOff>0</xdr:rowOff>
    </xdr:to>
    <xdr:sp macro="" textlink="">
      <xdr:nvSpPr>
        <xdr:cNvPr id="2587853" name="Line 136">
          <a:extLst>
            <a:ext uri="{FF2B5EF4-FFF2-40B4-BE49-F238E27FC236}">
              <a16:creationId xmlns:a16="http://schemas.microsoft.com/office/drawing/2014/main" id="{00000000-0008-0000-1400-0000CD7C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87854" name="Line 141">
          <a:extLst>
            <a:ext uri="{FF2B5EF4-FFF2-40B4-BE49-F238E27FC236}">
              <a16:creationId xmlns:a16="http://schemas.microsoft.com/office/drawing/2014/main" id="{00000000-0008-0000-1400-0000CE7C2700}"/>
            </a:ext>
          </a:extLst>
        </xdr:cNvPr>
        <xdr:cNvSpPr>
          <a:spLocks noChangeShapeType="1"/>
        </xdr:cNvSpPr>
      </xdr:nvSpPr>
      <xdr:spPr bwMode="auto">
        <a:xfrm flipV="1">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87855" name="Line 142">
          <a:extLst>
            <a:ext uri="{FF2B5EF4-FFF2-40B4-BE49-F238E27FC236}">
              <a16:creationId xmlns:a16="http://schemas.microsoft.com/office/drawing/2014/main" id="{00000000-0008-0000-1400-0000CF7C2700}"/>
            </a:ext>
          </a:extLst>
        </xdr:cNvPr>
        <xdr:cNvSpPr>
          <a:spLocks noChangeShapeType="1"/>
        </xdr:cNvSpPr>
      </xdr:nvSpPr>
      <xdr:spPr bwMode="auto">
        <a:xfrm>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56" name="Line 612">
          <a:extLst>
            <a:ext uri="{FF2B5EF4-FFF2-40B4-BE49-F238E27FC236}">
              <a16:creationId xmlns:a16="http://schemas.microsoft.com/office/drawing/2014/main" id="{00000000-0008-0000-1400-0000D0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0</xdr:col>
      <xdr:colOff>0</xdr:colOff>
      <xdr:row>6</xdr:row>
      <xdr:rowOff>0</xdr:rowOff>
    </xdr:from>
    <xdr:to>
      <xdr:col>3</xdr:col>
      <xdr:colOff>0</xdr:colOff>
      <xdr:row>7</xdr:row>
      <xdr:rowOff>0</xdr:rowOff>
    </xdr:to>
    <xdr:sp macro="" textlink="">
      <xdr:nvSpPr>
        <xdr:cNvPr id="436779" name="Text Box 5675">
          <a:hlinkClick xmlns:r="http://schemas.openxmlformats.org/officeDocument/2006/relationships" r:id="rId1"/>
          <a:extLst>
            <a:ext uri="{FF2B5EF4-FFF2-40B4-BE49-F238E27FC236}">
              <a16:creationId xmlns:a16="http://schemas.microsoft.com/office/drawing/2014/main" id="{00000000-0008-0000-1400-00002BAA0600}"/>
            </a:ext>
          </a:extLst>
        </xdr:cNvPr>
        <xdr:cNvSpPr txBox="1">
          <a:spLocks noChangeArrowheads="1"/>
        </xdr:cNvSpPr>
      </xdr:nvSpPr>
      <xdr:spPr bwMode="auto">
        <a:xfrm>
          <a:off x="0" y="774700"/>
          <a:ext cx="1714500" cy="2794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zur Startseite</a:t>
          </a:r>
        </a:p>
      </xdr:txBody>
    </xdr:sp>
    <xdr:clientData fPrintsWithSheet="0"/>
  </xdr:twoCellAnchor>
  <xdr:twoCellAnchor>
    <xdr:from>
      <xdr:col>0</xdr:col>
      <xdr:colOff>0</xdr:colOff>
      <xdr:row>8</xdr:row>
      <xdr:rowOff>0</xdr:rowOff>
    </xdr:from>
    <xdr:to>
      <xdr:col>3</xdr:col>
      <xdr:colOff>0</xdr:colOff>
      <xdr:row>9</xdr:row>
      <xdr:rowOff>0</xdr:rowOff>
    </xdr:to>
    <xdr:sp macro="" textlink="">
      <xdr:nvSpPr>
        <xdr:cNvPr id="436780" name="Text Box 5676">
          <a:hlinkClick xmlns:r="http://schemas.openxmlformats.org/officeDocument/2006/relationships" r:id="rId2"/>
          <a:extLst>
            <a:ext uri="{FF2B5EF4-FFF2-40B4-BE49-F238E27FC236}">
              <a16:creationId xmlns:a16="http://schemas.microsoft.com/office/drawing/2014/main" id="{00000000-0008-0000-1400-00002CAA0600}"/>
            </a:ext>
          </a:extLst>
        </xdr:cNvPr>
        <xdr:cNvSpPr txBox="1">
          <a:spLocks noChangeArrowheads="1"/>
        </xdr:cNvSpPr>
      </xdr:nvSpPr>
      <xdr:spPr bwMode="auto">
        <a:xfrm>
          <a:off x="0" y="13335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 weiter &gt;</a:t>
          </a:r>
        </a:p>
      </xdr:txBody>
    </xdr:sp>
    <xdr:clientData fPrintsWithSheet="0"/>
  </xdr:twoCellAnchor>
  <xdr:twoCellAnchor>
    <xdr:from>
      <xdr:col>0</xdr:col>
      <xdr:colOff>0</xdr:colOff>
      <xdr:row>10</xdr:row>
      <xdr:rowOff>0</xdr:rowOff>
    </xdr:from>
    <xdr:to>
      <xdr:col>3</xdr:col>
      <xdr:colOff>0</xdr:colOff>
      <xdr:row>11</xdr:row>
      <xdr:rowOff>0</xdr:rowOff>
    </xdr:to>
    <xdr:sp macro="" textlink="">
      <xdr:nvSpPr>
        <xdr:cNvPr id="436781" name="Text Box 5677">
          <a:hlinkClick xmlns:r="http://schemas.openxmlformats.org/officeDocument/2006/relationships" r:id="rId3"/>
          <a:extLst>
            <a:ext uri="{FF2B5EF4-FFF2-40B4-BE49-F238E27FC236}">
              <a16:creationId xmlns:a16="http://schemas.microsoft.com/office/drawing/2014/main" id="{00000000-0008-0000-1400-00002DAA0600}"/>
            </a:ext>
          </a:extLst>
        </xdr:cNvPr>
        <xdr:cNvSpPr txBox="1">
          <a:spLocks noChangeArrowheads="1"/>
        </xdr:cNvSpPr>
      </xdr:nvSpPr>
      <xdr:spPr bwMode="auto">
        <a:xfrm>
          <a:off x="0" y="18923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&lt; zurück</a:t>
          </a:r>
        </a:p>
      </xdr:txBody>
    </xdr:sp>
    <xdr:clientData fPrintsWithSheet="0"/>
  </xdr:twoCellAnchor>
  <xdr:twoCellAnchor>
    <xdr:from>
      <xdr:col>1</xdr:col>
      <xdr:colOff>12700</xdr:colOff>
      <xdr:row>24</xdr:row>
      <xdr:rowOff>0</xdr:rowOff>
    </xdr:from>
    <xdr:to>
      <xdr:col>2</xdr:col>
      <xdr:colOff>12700</xdr:colOff>
      <xdr:row>24</xdr:row>
      <xdr:rowOff>0</xdr:rowOff>
    </xdr:to>
    <xdr:sp macro="" textlink="">
      <xdr:nvSpPr>
        <xdr:cNvPr id="2587860" name="Line 135">
          <a:extLst>
            <a:ext uri="{FF2B5EF4-FFF2-40B4-BE49-F238E27FC236}">
              <a16:creationId xmlns:a16="http://schemas.microsoft.com/office/drawing/2014/main" id="{00000000-0008-0000-1400-0000D4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61" name="Line 330">
          <a:extLst>
            <a:ext uri="{FF2B5EF4-FFF2-40B4-BE49-F238E27FC236}">
              <a16:creationId xmlns:a16="http://schemas.microsoft.com/office/drawing/2014/main" id="{00000000-0008-0000-1400-0000D5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62" name="Line 135">
          <a:extLst>
            <a:ext uri="{FF2B5EF4-FFF2-40B4-BE49-F238E27FC236}">
              <a16:creationId xmlns:a16="http://schemas.microsoft.com/office/drawing/2014/main" id="{00000000-0008-0000-1400-0000D6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63" name="Line 330">
          <a:extLst>
            <a:ext uri="{FF2B5EF4-FFF2-40B4-BE49-F238E27FC236}">
              <a16:creationId xmlns:a16="http://schemas.microsoft.com/office/drawing/2014/main" id="{00000000-0008-0000-1400-0000D7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64" name="Line 330">
          <a:extLst>
            <a:ext uri="{FF2B5EF4-FFF2-40B4-BE49-F238E27FC236}">
              <a16:creationId xmlns:a16="http://schemas.microsoft.com/office/drawing/2014/main" id="{00000000-0008-0000-1400-0000D8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65" name="Line 135">
          <a:extLst>
            <a:ext uri="{FF2B5EF4-FFF2-40B4-BE49-F238E27FC236}">
              <a16:creationId xmlns:a16="http://schemas.microsoft.com/office/drawing/2014/main" id="{00000000-0008-0000-1400-0000D9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66" name="Line 612">
          <a:extLst>
            <a:ext uri="{FF2B5EF4-FFF2-40B4-BE49-F238E27FC236}">
              <a16:creationId xmlns:a16="http://schemas.microsoft.com/office/drawing/2014/main" id="{00000000-0008-0000-1400-0000DA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67" name="Line 135">
          <a:extLst>
            <a:ext uri="{FF2B5EF4-FFF2-40B4-BE49-F238E27FC236}">
              <a16:creationId xmlns:a16="http://schemas.microsoft.com/office/drawing/2014/main" id="{00000000-0008-0000-1400-0000DB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68" name="Line 331">
          <a:extLst>
            <a:ext uri="{FF2B5EF4-FFF2-40B4-BE49-F238E27FC236}">
              <a16:creationId xmlns:a16="http://schemas.microsoft.com/office/drawing/2014/main" id="{00000000-0008-0000-1400-0000DC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69" name="Line 135">
          <a:extLst>
            <a:ext uri="{FF2B5EF4-FFF2-40B4-BE49-F238E27FC236}">
              <a16:creationId xmlns:a16="http://schemas.microsoft.com/office/drawing/2014/main" id="{00000000-0008-0000-1400-0000DD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70" name="Line 330">
          <a:extLst>
            <a:ext uri="{FF2B5EF4-FFF2-40B4-BE49-F238E27FC236}">
              <a16:creationId xmlns:a16="http://schemas.microsoft.com/office/drawing/2014/main" id="{00000000-0008-0000-1400-0000DE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71" name="Line 330">
          <a:extLst>
            <a:ext uri="{FF2B5EF4-FFF2-40B4-BE49-F238E27FC236}">
              <a16:creationId xmlns:a16="http://schemas.microsoft.com/office/drawing/2014/main" id="{00000000-0008-0000-1400-0000DF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72" name="Line 135">
          <a:extLst>
            <a:ext uri="{FF2B5EF4-FFF2-40B4-BE49-F238E27FC236}">
              <a16:creationId xmlns:a16="http://schemas.microsoft.com/office/drawing/2014/main" id="{00000000-0008-0000-1400-0000E0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73" name="Line 612">
          <a:extLst>
            <a:ext uri="{FF2B5EF4-FFF2-40B4-BE49-F238E27FC236}">
              <a16:creationId xmlns:a16="http://schemas.microsoft.com/office/drawing/2014/main" id="{00000000-0008-0000-1400-0000E1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74" name="Line 135">
          <a:extLst>
            <a:ext uri="{FF2B5EF4-FFF2-40B4-BE49-F238E27FC236}">
              <a16:creationId xmlns:a16="http://schemas.microsoft.com/office/drawing/2014/main" id="{00000000-0008-0000-1400-0000E2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75" name="Line 330">
          <a:extLst>
            <a:ext uri="{FF2B5EF4-FFF2-40B4-BE49-F238E27FC236}">
              <a16:creationId xmlns:a16="http://schemas.microsoft.com/office/drawing/2014/main" id="{00000000-0008-0000-1400-0000E3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76" name="Line 135">
          <a:extLst>
            <a:ext uri="{FF2B5EF4-FFF2-40B4-BE49-F238E27FC236}">
              <a16:creationId xmlns:a16="http://schemas.microsoft.com/office/drawing/2014/main" id="{00000000-0008-0000-1400-0000E4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77" name="Line 330">
          <a:extLst>
            <a:ext uri="{FF2B5EF4-FFF2-40B4-BE49-F238E27FC236}">
              <a16:creationId xmlns:a16="http://schemas.microsoft.com/office/drawing/2014/main" id="{00000000-0008-0000-1400-0000E5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78" name="Line 330">
          <a:extLst>
            <a:ext uri="{FF2B5EF4-FFF2-40B4-BE49-F238E27FC236}">
              <a16:creationId xmlns:a16="http://schemas.microsoft.com/office/drawing/2014/main" id="{00000000-0008-0000-1400-0000E6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79" name="Line 135">
          <a:extLst>
            <a:ext uri="{FF2B5EF4-FFF2-40B4-BE49-F238E27FC236}">
              <a16:creationId xmlns:a16="http://schemas.microsoft.com/office/drawing/2014/main" id="{00000000-0008-0000-1400-0000E7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80" name="Line 612">
          <a:extLst>
            <a:ext uri="{FF2B5EF4-FFF2-40B4-BE49-F238E27FC236}">
              <a16:creationId xmlns:a16="http://schemas.microsoft.com/office/drawing/2014/main" id="{00000000-0008-0000-1400-0000E8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81" name="Line 135">
          <a:extLst>
            <a:ext uri="{FF2B5EF4-FFF2-40B4-BE49-F238E27FC236}">
              <a16:creationId xmlns:a16="http://schemas.microsoft.com/office/drawing/2014/main" id="{00000000-0008-0000-1400-0000E9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82" name="Line 331">
          <a:extLst>
            <a:ext uri="{FF2B5EF4-FFF2-40B4-BE49-F238E27FC236}">
              <a16:creationId xmlns:a16="http://schemas.microsoft.com/office/drawing/2014/main" id="{00000000-0008-0000-1400-0000EA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83" name="Line 135">
          <a:extLst>
            <a:ext uri="{FF2B5EF4-FFF2-40B4-BE49-F238E27FC236}">
              <a16:creationId xmlns:a16="http://schemas.microsoft.com/office/drawing/2014/main" id="{00000000-0008-0000-1400-0000EB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84" name="Line 330">
          <a:extLst>
            <a:ext uri="{FF2B5EF4-FFF2-40B4-BE49-F238E27FC236}">
              <a16:creationId xmlns:a16="http://schemas.microsoft.com/office/drawing/2014/main" id="{00000000-0008-0000-1400-0000EC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85" name="Line 330">
          <a:extLst>
            <a:ext uri="{FF2B5EF4-FFF2-40B4-BE49-F238E27FC236}">
              <a16:creationId xmlns:a16="http://schemas.microsoft.com/office/drawing/2014/main" id="{00000000-0008-0000-1400-0000ED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86" name="Line 135">
          <a:extLst>
            <a:ext uri="{FF2B5EF4-FFF2-40B4-BE49-F238E27FC236}">
              <a16:creationId xmlns:a16="http://schemas.microsoft.com/office/drawing/2014/main" id="{00000000-0008-0000-1400-0000EE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87" name="Line 612">
          <a:extLst>
            <a:ext uri="{FF2B5EF4-FFF2-40B4-BE49-F238E27FC236}">
              <a16:creationId xmlns:a16="http://schemas.microsoft.com/office/drawing/2014/main" id="{00000000-0008-0000-1400-0000EF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88" name="Line 135">
          <a:extLst>
            <a:ext uri="{FF2B5EF4-FFF2-40B4-BE49-F238E27FC236}">
              <a16:creationId xmlns:a16="http://schemas.microsoft.com/office/drawing/2014/main" id="{00000000-0008-0000-1400-0000F0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89" name="Line 330">
          <a:extLst>
            <a:ext uri="{FF2B5EF4-FFF2-40B4-BE49-F238E27FC236}">
              <a16:creationId xmlns:a16="http://schemas.microsoft.com/office/drawing/2014/main" id="{00000000-0008-0000-1400-0000F1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90" name="Line 135">
          <a:extLst>
            <a:ext uri="{FF2B5EF4-FFF2-40B4-BE49-F238E27FC236}">
              <a16:creationId xmlns:a16="http://schemas.microsoft.com/office/drawing/2014/main" id="{00000000-0008-0000-1400-0000F2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91" name="Line 330">
          <a:extLst>
            <a:ext uri="{FF2B5EF4-FFF2-40B4-BE49-F238E27FC236}">
              <a16:creationId xmlns:a16="http://schemas.microsoft.com/office/drawing/2014/main" id="{00000000-0008-0000-1400-0000F3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92" name="Line 330">
          <a:extLst>
            <a:ext uri="{FF2B5EF4-FFF2-40B4-BE49-F238E27FC236}">
              <a16:creationId xmlns:a16="http://schemas.microsoft.com/office/drawing/2014/main" id="{00000000-0008-0000-1400-0000F4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93" name="Line 135">
          <a:extLst>
            <a:ext uri="{FF2B5EF4-FFF2-40B4-BE49-F238E27FC236}">
              <a16:creationId xmlns:a16="http://schemas.microsoft.com/office/drawing/2014/main" id="{00000000-0008-0000-1400-0000F5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94" name="Line 612">
          <a:extLst>
            <a:ext uri="{FF2B5EF4-FFF2-40B4-BE49-F238E27FC236}">
              <a16:creationId xmlns:a16="http://schemas.microsoft.com/office/drawing/2014/main" id="{00000000-0008-0000-1400-0000F6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95" name="Line 135">
          <a:extLst>
            <a:ext uri="{FF2B5EF4-FFF2-40B4-BE49-F238E27FC236}">
              <a16:creationId xmlns:a16="http://schemas.microsoft.com/office/drawing/2014/main" id="{00000000-0008-0000-1400-0000F7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96" name="Line 330">
          <a:extLst>
            <a:ext uri="{FF2B5EF4-FFF2-40B4-BE49-F238E27FC236}">
              <a16:creationId xmlns:a16="http://schemas.microsoft.com/office/drawing/2014/main" id="{00000000-0008-0000-1400-0000F8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97" name="Line 330">
          <a:extLst>
            <a:ext uri="{FF2B5EF4-FFF2-40B4-BE49-F238E27FC236}">
              <a16:creationId xmlns:a16="http://schemas.microsoft.com/office/drawing/2014/main" id="{00000000-0008-0000-1400-0000F9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98" name="Line 135">
          <a:extLst>
            <a:ext uri="{FF2B5EF4-FFF2-40B4-BE49-F238E27FC236}">
              <a16:creationId xmlns:a16="http://schemas.microsoft.com/office/drawing/2014/main" id="{00000000-0008-0000-1400-0000FA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99" name="Line 612">
          <a:extLst>
            <a:ext uri="{FF2B5EF4-FFF2-40B4-BE49-F238E27FC236}">
              <a16:creationId xmlns:a16="http://schemas.microsoft.com/office/drawing/2014/main" id="{00000000-0008-0000-1400-0000FB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900" name="Line 330">
          <a:extLst>
            <a:ext uri="{FF2B5EF4-FFF2-40B4-BE49-F238E27FC236}">
              <a16:creationId xmlns:a16="http://schemas.microsoft.com/office/drawing/2014/main" id="{00000000-0008-0000-1400-0000FC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901" name="Line 135">
          <a:extLst>
            <a:ext uri="{FF2B5EF4-FFF2-40B4-BE49-F238E27FC236}">
              <a16:creationId xmlns:a16="http://schemas.microsoft.com/office/drawing/2014/main" id="{00000000-0008-0000-1400-0000FD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902" name="Line 612">
          <a:extLst>
            <a:ext uri="{FF2B5EF4-FFF2-40B4-BE49-F238E27FC236}">
              <a16:creationId xmlns:a16="http://schemas.microsoft.com/office/drawing/2014/main" id="{00000000-0008-0000-1400-0000FE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12700</xdr:colOff>
      <xdr:row>24</xdr:row>
      <xdr:rowOff>0</xdr:rowOff>
    </xdr:from>
    <xdr:to>
      <xdr:col>2</xdr:col>
      <xdr:colOff>12700</xdr:colOff>
      <xdr:row>24</xdr:row>
      <xdr:rowOff>0</xdr:rowOff>
    </xdr:to>
    <xdr:sp macro="" textlink="">
      <xdr:nvSpPr>
        <xdr:cNvPr id="2554538" name="Line 135">
          <a:extLst>
            <a:ext uri="{FF2B5EF4-FFF2-40B4-BE49-F238E27FC236}">
              <a16:creationId xmlns:a16="http://schemas.microsoft.com/office/drawing/2014/main" id="{00000000-0008-0000-1500-0000AA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539" name="Line 330">
          <a:extLst>
            <a:ext uri="{FF2B5EF4-FFF2-40B4-BE49-F238E27FC236}">
              <a16:creationId xmlns:a16="http://schemas.microsoft.com/office/drawing/2014/main" id="{00000000-0008-0000-1500-0000AB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540" name="Line 135">
          <a:extLst>
            <a:ext uri="{FF2B5EF4-FFF2-40B4-BE49-F238E27FC236}">
              <a16:creationId xmlns:a16="http://schemas.microsoft.com/office/drawing/2014/main" id="{00000000-0008-0000-1500-0000AC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541" name="Line 330">
          <a:extLst>
            <a:ext uri="{FF2B5EF4-FFF2-40B4-BE49-F238E27FC236}">
              <a16:creationId xmlns:a16="http://schemas.microsoft.com/office/drawing/2014/main" id="{00000000-0008-0000-1500-0000AD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542" name="Line 330">
          <a:extLst>
            <a:ext uri="{FF2B5EF4-FFF2-40B4-BE49-F238E27FC236}">
              <a16:creationId xmlns:a16="http://schemas.microsoft.com/office/drawing/2014/main" id="{00000000-0008-0000-1500-0000AE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54543" name="Line 4">
          <a:extLst>
            <a:ext uri="{FF2B5EF4-FFF2-40B4-BE49-F238E27FC236}">
              <a16:creationId xmlns:a16="http://schemas.microsoft.com/office/drawing/2014/main" id="{00000000-0008-0000-1500-0000AFFA2600}"/>
            </a:ext>
          </a:extLst>
        </xdr:cNvPr>
        <xdr:cNvSpPr>
          <a:spLocks noChangeShapeType="1"/>
        </xdr:cNvSpPr>
      </xdr:nvSpPr>
      <xdr:spPr bwMode="auto">
        <a:xfrm>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54544" name="Line 5">
          <a:extLst>
            <a:ext uri="{FF2B5EF4-FFF2-40B4-BE49-F238E27FC236}">
              <a16:creationId xmlns:a16="http://schemas.microsoft.com/office/drawing/2014/main" id="{00000000-0008-0000-1500-0000B0FA2600}"/>
            </a:ext>
          </a:extLst>
        </xdr:cNvPr>
        <xdr:cNvSpPr>
          <a:spLocks noChangeShapeType="1"/>
        </xdr:cNvSpPr>
      </xdr:nvSpPr>
      <xdr:spPr bwMode="auto">
        <a:xfrm flipV="1">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54545" name="Line 8">
          <a:extLst>
            <a:ext uri="{FF2B5EF4-FFF2-40B4-BE49-F238E27FC236}">
              <a16:creationId xmlns:a16="http://schemas.microsoft.com/office/drawing/2014/main" id="{00000000-0008-0000-1500-0000B1FA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54546" name="Line 9">
          <a:extLst>
            <a:ext uri="{FF2B5EF4-FFF2-40B4-BE49-F238E27FC236}">
              <a16:creationId xmlns:a16="http://schemas.microsoft.com/office/drawing/2014/main" id="{00000000-0008-0000-1500-0000B2FA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54547" name="Line 10">
          <a:extLst>
            <a:ext uri="{FF2B5EF4-FFF2-40B4-BE49-F238E27FC236}">
              <a16:creationId xmlns:a16="http://schemas.microsoft.com/office/drawing/2014/main" id="{00000000-0008-0000-1500-0000B3FA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54548" name="Line 11">
          <a:extLst>
            <a:ext uri="{FF2B5EF4-FFF2-40B4-BE49-F238E27FC236}">
              <a16:creationId xmlns:a16="http://schemas.microsoft.com/office/drawing/2014/main" id="{00000000-0008-0000-1500-0000B4FA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54549" name="Line 20">
          <a:extLst>
            <a:ext uri="{FF2B5EF4-FFF2-40B4-BE49-F238E27FC236}">
              <a16:creationId xmlns:a16="http://schemas.microsoft.com/office/drawing/2014/main" id="{00000000-0008-0000-1500-0000B5FA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54550" name="Line 21">
          <a:extLst>
            <a:ext uri="{FF2B5EF4-FFF2-40B4-BE49-F238E27FC236}">
              <a16:creationId xmlns:a16="http://schemas.microsoft.com/office/drawing/2014/main" id="{00000000-0008-0000-1500-0000B6FA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54551" name="Line 22">
          <a:extLst>
            <a:ext uri="{FF2B5EF4-FFF2-40B4-BE49-F238E27FC236}">
              <a16:creationId xmlns:a16="http://schemas.microsoft.com/office/drawing/2014/main" id="{00000000-0008-0000-1500-0000B7FA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54552" name="Line 23">
          <a:extLst>
            <a:ext uri="{FF2B5EF4-FFF2-40B4-BE49-F238E27FC236}">
              <a16:creationId xmlns:a16="http://schemas.microsoft.com/office/drawing/2014/main" id="{00000000-0008-0000-1500-0000B8FA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54553" name="Line 26">
          <a:extLst>
            <a:ext uri="{FF2B5EF4-FFF2-40B4-BE49-F238E27FC236}">
              <a16:creationId xmlns:a16="http://schemas.microsoft.com/office/drawing/2014/main" id="{00000000-0008-0000-1500-0000B9FA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54554" name="Line 27">
          <a:extLst>
            <a:ext uri="{FF2B5EF4-FFF2-40B4-BE49-F238E27FC236}">
              <a16:creationId xmlns:a16="http://schemas.microsoft.com/office/drawing/2014/main" id="{00000000-0008-0000-1500-0000BAFA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54555" name="Line 28">
          <a:extLst>
            <a:ext uri="{FF2B5EF4-FFF2-40B4-BE49-F238E27FC236}">
              <a16:creationId xmlns:a16="http://schemas.microsoft.com/office/drawing/2014/main" id="{00000000-0008-0000-1500-0000BBFA26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54556" name="Line 29">
          <a:extLst>
            <a:ext uri="{FF2B5EF4-FFF2-40B4-BE49-F238E27FC236}">
              <a16:creationId xmlns:a16="http://schemas.microsoft.com/office/drawing/2014/main" id="{00000000-0008-0000-1500-0000BCFA2600}"/>
            </a:ext>
          </a:extLst>
        </xdr:cNvPr>
        <xdr:cNvSpPr>
          <a:spLocks noChangeShapeType="1"/>
        </xdr:cNvSpPr>
      </xdr:nvSpPr>
      <xdr:spPr bwMode="auto">
        <a:xfrm>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54557" name="Line 30">
          <a:extLst>
            <a:ext uri="{FF2B5EF4-FFF2-40B4-BE49-F238E27FC236}">
              <a16:creationId xmlns:a16="http://schemas.microsoft.com/office/drawing/2014/main" id="{00000000-0008-0000-1500-0000BDFA2600}"/>
            </a:ext>
          </a:extLst>
        </xdr:cNvPr>
        <xdr:cNvSpPr>
          <a:spLocks noChangeShapeType="1"/>
        </xdr:cNvSpPr>
      </xdr:nvSpPr>
      <xdr:spPr bwMode="auto">
        <a:xfrm flipV="1">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54558" name="Line 31">
          <a:extLst>
            <a:ext uri="{FF2B5EF4-FFF2-40B4-BE49-F238E27FC236}">
              <a16:creationId xmlns:a16="http://schemas.microsoft.com/office/drawing/2014/main" id="{00000000-0008-0000-1500-0000BEFA2600}"/>
            </a:ext>
          </a:extLst>
        </xdr:cNvPr>
        <xdr:cNvSpPr>
          <a:spLocks noChangeShapeType="1"/>
        </xdr:cNvSpPr>
      </xdr:nvSpPr>
      <xdr:spPr bwMode="auto">
        <a:xfrm>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54559" name="Line 32">
          <a:extLst>
            <a:ext uri="{FF2B5EF4-FFF2-40B4-BE49-F238E27FC236}">
              <a16:creationId xmlns:a16="http://schemas.microsoft.com/office/drawing/2014/main" id="{00000000-0008-0000-1500-0000BFFA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54560" name="Line 33">
          <a:extLst>
            <a:ext uri="{FF2B5EF4-FFF2-40B4-BE49-F238E27FC236}">
              <a16:creationId xmlns:a16="http://schemas.microsoft.com/office/drawing/2014/main" id="{00000000-0008-0000-1500-0000C0FA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54561" name="Line 34">
          <a:extLst>
            <a:ext uri="{FF2B5EF4-FFF2-40B4-BE49-F238E27FC236}">
              <a16:creationId xmlns:a16="http://schemas.microsoft.com/office/drawing/2014/main" id="{00000000-0008-0000-1500-0000C1FA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54562" name="Line 35">
          <a:extLst>
            <a:ext uri="{FF2B5EF4-FFF2-40B4-BE49-F238E27FC236}">
              <a16:creationId xmlns:a16="http://schemas.microsoft.com/office/drawing/2014/main" id="{00000000-0008-0000-1500-0000C2FA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27</xdr:row>
      <xdr:rowOff>0</xdr:rowOff>
    </xdr:to>
    <xdr:sp macro="" textlink="">
      <xdr:nvSpPr>
        <xdr:cNvPr id="2554563" name="Line 36">
          <a:extLst>
            <a:ext uri="{FF2B5EF4-FFF2-40B4-BE49-F238E27FC236}">
              <a16:creationId xmlns:a16="http://schemas.microsoft.com/office/drawing/2014/main" id="{00000000-0008-0000-1500-0000C3FA26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54564" name="Line 38">
          <a:extLst>
            <a:ext uri="{FF2B5EF4-FFF2-40B4-BE49-F238E27FC236}">
              <a16:creationId xmlns:a16="http://schemas.microsoft.com/office/drawing/2014/main" id="{00000000-0008-0000-1500-0000C4FA2600}"/>
            </a:ext>
          </a:extLst>
        </xdr:cNvPr>
        <xdr:cNvSpPr>
          <a:spLocks noChangeShapeType="1"/>
        </xdr:cNvSpPr>
      </xdr:nvSpPr>
      <xdr:spPr bwMode="auto">
        <a:xfrm flipV="1">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54565" name="Line 39">
          <a:extLst>
            <a:ext uri="{FF2B5EF4-FFF2-40B4-BE49-F238E27FC236}">
              <a16:creationId xmlns:a16="http://schemas.microsoft.com/office/drawing/2014/main" id="{00000000-0008-0000-1500-0000C5FA2600}"/>
            </a:ext>
          </a:extLst>
        </xdr:cNvPr>
        <xdr:cNvSpPr>
          <a:spLocks noChangeShapeType="1"/>
        </xdr:cNvSpPr>
      </xdr:nvSpPr>
      <xdr:spPr bwMode="auto">
        <a:xfrm>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54566" name="Line 40">
          <a:extLst>
            <a:ext uri="{FF2B5EF4-FFF2-40B4-BE49-F238E27FC236}">
              <a16:creationId xmlns:a16="http://schemas.microsoft.com/office/drawing/2014/main" id="{00000000-0008-0000-1500-0000C6FA2600}"/>
            </a:ext>
          </a:extLst>
        </xdr:cNvPr>
        <xdr:cNvSpPr>
          <a:spLocks noChangeShapeType="1"/>
        </xdr:cNvSpPr>
      </xdr:nvSpPr>
      <xdr:spPr bwMode="auto">
        <a:xfrm flipV="1">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54567" name="Line 41">
          <a:extLst>
            <a:ext uri="{FF2B5EF4-FFF2-40B4-BE49-F238E27FC236}">
              <a16:creationId xmlns:a16="http://schemas.microsoft.com/office/drawing/2014/main" id="{00000000-0008-0000-1500-0000C7FA26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54568" name="Line 42">
          <a:extLst>
            <a:ext uri="{FF2B5EF4-FFF2-40B4-BE49-F238E27FC236}">
              <a16:creationId xmlns:a16="http://schemas.microsoft.com/office/drawing/2014/main" id="{00000000-0008-0000-1500-0000C8FA2600}"/>
            </a:ext>
          </a:extLst>
        </xdr:cNvPr>
        <xdr:cNvSpPr>
          <a:spLocks noChangeShapeType="1"/>
        </xdr:cNvSpPr>
      </xdr:nvSpPr>
      <xdr:spPr bwMode="auto">
        <a:xfrm flipV="1">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54569" name="Line 43">
          <a:extLst>
            <a:ext uri="{FF2B5EF4-FFF2-40B4-BE49-F238E27FC236}">
              <a16:creationId xmlns:a16="http://schemas.microsoft.com/office/drawing/2014/main" id="{00000000-0008-0000-1500-0000C9FA2600}"/>
            </a:ext>
          </a:extLst>
        </xdr:cNvPr>
        <xdr:cNvSpPr>
          <a:spLocks noChangeShapeType="1"/>
        </xdr:cNvSpPr>
      </xdr:nvSpPr>
      <xdr:spPr bwMode="auto">
        <a:xfrm>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54570" name="Line 44">
          <a:extLst>
            <a:ext uri="{FF2B5EF4-FFF2-40B4-BE49-F238E27FC236}">
              <a16:creationId xmlns:a16="http://schemas.microsoft.com/office/drawing/2014/main" id="{00000000-0008-0000-1500-0000CAFA2600}"/>
            </a:ext>
          </a:extLst>
        </xdr:cNvPr>
        <xdr:cNvSpPr>
          <a:spLocks noChangeShapeType="1"/>
        </xdr:cNvSpPr>
      </xdr:nvSpPr>
      <xdr:spPr bwMode="auto">
        <a:xfrm flipV="1">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54571" name="Line 45">
          <a:extLst>
            <a:ext uri="{FF2B5EF4-FFF2-40B4-BE49-F238E27FC236}">
              <a16:creationId xmlns:a16="http://schemas.microsoft.com/office/drawing/2014/main" id="{00000000-0008-0000-1500-0000CBFA2600}"/>
            </a:ext>
          </a:extLst>
        </xdr:cNvPr>
        <xdr:cNvSpPr>
          <a:spLocks noChangeShapeType="1"/>
        </xdr:cNvSpPr>
      </xdr:nvSpPr>
      <xdr:spPr bwMode="auto">
        <a:xfrm>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54572" name="Line 46">
          <a:extLst>
            <a:ext uri="{FF2B5EF4-FFF2-40B4-BE49-F238E27FC236}">
              <a16:creationId xmlns:a16="http://schemas.microsoft.com/office/drawing/2014/main" id="{00000000-0008-0000-1500-0000CCFA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54573" name="Line 47">
          <a:extLst>
            <a:ext uri="{FF2B5EF4-FFF2-40B4-BE49-F238E27FC236}">
              <a16:creationId xmlns:a16="http://schemas.microsoft.com/office/drawing/2014/main" id="{00000000-0008-0000-1500-0000CDFA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54574" name="Line 49">
          <a:extLst>
            <a:ext uri="{FF2B5EF4-FFF2-40B4-BE49-F238E27FC236}">
              <a16:creationId xmlns:a16="http://schemas.microsoft.com/office/drawing/2014/main" id="{00000000-0008-0000-1500-0000CEFA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54575" name="Line 50">
          <a:extLst>
            <a:ext uri="{FF2B5EF4-FFF2-40B4-BE49-F238E27FC236}">
              <a16:creationId xmlns:a16="http://schemas.microsoft.com/office/drawing/2014/main" id="{00000000-0008-0000-1500-0000CFFA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54576" name="Line 51">
          <a:extLst>
            <a:ext uri="{FF2B5EF4-FFF2-40B4-BE49-F238E27FC236}">
              <a16:creationId xmlns:a16="http://schemas.microsoft.com/office/drawing/2014/main" id="{00000000-0008-0000-1500-0000D0FA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54577" name="Line 52">
          <a:extLst>
            <a:ext uri="{FF2B5EF4-FFF2-40B4-BE49-F238E27FC236}">
              <a16:creationId xmlns:a16="http://schemas.microsoft.com/office/drawing/2014/main" id="{00000000-0008-0000-1500-0000D1FA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54578" name="Line 53">
          <a:extLst>
            <a:ext uri="{FF2B5EF4-FFF2-40B4-BE49-F238E27FC236}">
              <a16:creationId xmlns:a16="http://schemas.microsoft.com/office/drawing/2014/main" id="{00000000-0008-0000-1500-0000D2FA2600}"/>
            </a:ext>
          </a:extLst>
        </xdr:cNvPr>
        <xdr:cNvSpPr>
          <a:spLocks noChangeShapeType="1"/>
        </xdr:cNvSpPr>
      </xdr:nvSpPr>
      <xdr:spPr bwMode="auto">
        <a:xfrm flipV="1">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54579" name="Line 54">
          <a:extLst>
            <a:ext uri="{FF2B5EF4-FFF2-40B4-BE49-F238E27FC236}">
              <a16:creationId xmlns:a16="http://schemas.microsoft.com/office/drawing/2014/main" id="{00000000-0008-0000-1500-0000D3FA2600}"/>
            </a:ext>
          </a:extLst>
        </xdr:cNvPr>
        <xdr:cNvSpPr>
          <a:spLocks noChangeShapeType="1"/>
        </xdr:cNvSpPr>
      </xdr:nvSpPr>
      <xdr:spPr bwMode="auto">
        <a:xfrm>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54580" name="Line 58">
          <a:extLst>
            <a:ext uri="{FF2B5EF4-FFF2-40B4-BE49-F238E27FC236}">
              <a16:creationId xmlns:a16="http://schemas.microsoft.com/office/drawing/2014/main" id="{00000000-0008-0000-1500-0000D4FA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54581" name="Line 59">
          <a:extLst>
            <a:ext uri="{FF2B5EF4-FFF2-40B4-BE49-F238E27FC236}">
              <a16:creationId xmlns:a16="http://schemas.microsoft.com/office/drawing/2014/main" id="{00000000-0008-0000-1500-0000D5FA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54582" name="Line 129">
          <a:extLst>
            <a:ext uri="{FF2B5EF4-FFF2-40B4-BE49-F238E27FC236}">
              <a16:creationId xmlns:a16="http://schemas.microsoft.com/office/drawing/2014/main" id="{00000000-0008-0000-1500-0000D6FA2600}"/>
            </a:ext>
          </a:extLst>
        </xdr:cNvPr>
        <xdr:cNvSpPr>
          <a:spLocks noChangeShapeType="1"/>
        </xdr:cNvSpPr>
      </xdr:nvSpPr>
      <xdr:spPr bwMode="auto">
        <a:xfrm flipV="1">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54583" name="Line 130">
          <a:extLst>
            <a:ext uri="{FF2B5EF4-FFF2-40B4-BE49-F238E27FC236}">
              <a16:creationId xmlns:a16="http://schemas.microsoft.com/office/drawing/2014/main" id="{00000000-0008-0000-1500-0000D7FA2600}"/>
            </a:ext>
          </a:extLst>
        </xdr:cNvPr>
        <xdr:cNvSpPr>
          <a:spLocks noChangeShapeType="1"/>
        </xdr:cNvSpPr>
      </xdr:nvSpPr>
      <xdr:spPr bwMode="auto">
        <a:xfrm>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54584" name="Line 131">
          <a:extLst>
            <a:ext uri="{FF2B5EF4-FFF2-40B4-BE49-F238E27FC236}">
              <a16:creationId xmlns:a16="http://schemas.microsoft.com/office/drawing/2014/main" id="{00000000-0008-0000-1500-0000D8FA26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54585" name="Line 132">
          <a:extLst>
            <a:ext uri="{FF2B5EF4-FFF2-40B4-BE49-F238E27FC236}">
              <a16:creationId xmlns:a16="http://schemas.microsoft.com/office/drawing/2014/main" id="{00000000-0008-0000-1500-0000D9FA26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54586" name="Line 133">
          <a:extLst>
            <a:ext uri="{FF2B5EF4-FFF2-40B4-BE49-F238E27FC236}">
              <a16:creationId xmlns:a16="http://schemas.microsoft.com/office/drawing/2014/main" id="{00000000-0008-0000-1500-0000DAFA26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54587" name="Line 134">
          <a:extLst>
            <a:ext uri="{FF2B5EF4-FFF2-40B4-BE49-F238E27FC236}">
              <a16:creationId xmlns:a16="http://schemas.microsoft.com/office/drawing/2014/main" id="{00000000-0008-0000-1500-0000DBFA26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588" name="Line 135">
          <a:extLst>
            <a:ext uri="{FF2B5EF4-FFF2-40B4-BE49-F238E27FC236}">
              <a16:creationId xmlns:a16="http://schemas.microsoft.com/office/drawing/2014/main" id="{00000000-0008-0000-1500-0000DC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24</xdr:row>
      <xdr:rowOff>0</xdr:rowOff>
    </xdr:to>
    <xdr:sp macro="" textlink="">
      <xdr:nvSpPr>
        <xdr:cNvPr id="2554589" name="Line 136">
          <a:extLst>
            <a:ext uri="{FF2B5EF4-FFF2-40B4-BE49-F238E27FC236}">
              <a16:creationId xmlns:a16="http://schemas.microsoft.com/office/drawing/2014/main" id="{00000000-0008-0000-1500-0000DDFA26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54590" name="Line 141">
          <a:extLst>
            <a:ext uri="{FF2B5EF4-FFF2-40B4-BE49-F238E27FC236}">
              <a16:creationId xmlns:a16="http://schemas.microsoft.com/office/drawing/2014/main" id="{00000000-0008-0000-1500-0000DEFA2600}"/>
            </a:ext>
          </a:extLst>
        </xdr:cNvPr>
        <xdr:cNvSpPr>
          <a:spLocks noChangeShapeType="1"/>
        </xdr:cNvSpPr>
      </xdr:nvSpPr>
      <xdr:spPr bwMode="auto">
        <a:xfrm flipV="1">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54591" name="Line 142">
          <a:extLst>
            <a:ext uri="{FF2B5EF4-FFF2-40B4-BE49-F238E27FC236}">
              <a16:creationId xmlns:a16="http://schemas.microsoft.com/office/drawing/2014/main" id="{00000000-0008-0000-1500-0000DFFA2600}"/>
            </a:ext>
          </a:extLst>
        </xdr:cNvPr>
        <xdr:cNvSpPr>
          <a:spLocks noChangeShapeType="1"/>
        </xdr:cNvSpPr>
      </xdr:nvSpPr>
      <xdr:spPr bwMode="auto">
        <a:xfrm>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592" name="Line 612">
          <a:extLst>
            <a:ext uri="{FF2B5EF4-FFF2-40B4-BE49-F238E27FC236}">
              <a16:creationId xmlns:a16="http://schemas.microsoft.com/office/drawing/2014/main" id="{00000000-0008-0000-1500-0000E0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0</xdr:col>
      <xdr:colOff>0</xdr:colOff>
      <xdr:row>6</xdr:row>
      <xdr:rowOff>0</xdr:rowOff>
    </xdr:from>
    <xdr:to>
      <xdr:col>3</xdr:col>
      <xdr:colOff>0</xdr:colOff>
      <xdr:row>7</xdr:row>
      <xdr:rowOff>0</xdr:rowOff>
    </xdr:to>
    <xdr:sp macro="" textlink="">
      <xdr:nvSpPr>
        <xdr:cNvPr id="437799" name="Text Box 5671">
          <a:hlinkClick xmlns:r="http://schemas.openxmlformats.org/officeDocument/2006/relationships" r:id="rId1"/>
          <a:extLst>
            <a:ext uri="{FF2B5EF4-FFF2-40B4-BE49-F238E27FC236}">
              <a16:creationId xmlns:a16="http://schemas.microsoft.com/office/drawing/2014/main" id="{00000000-0008-0000-1500-000027AE0600}"/>
            </a:ext>
          </a:extLst>
        </xdr:cNvPr>
        <xdr:cNvSpPr txBox="1">
          <a:spLocks noChangeArrowheads="1"/>
        </xdr:cNvSpPr>
      </xdr:nvSpPr>
      <xdr:spPr bwMode="auto">
        <a:xfrm>
          <a:off x="0" y="774700"/>
          <a:ext cx="1714500" cy="2794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zur Startseite</a:t>
          </a:r>
        </a:p>
      </xdr:txBody>
    </xdr:sp>
    <xdr:clientData fPrintsWithSheet="0"/>
  </xdr:twoCellAnchor>
  <xdr:twoCellAnchor>
    <xdr:from>
      <xdr:col>0</xdr:col>
      <xdr:colOff>0</xdr:colOff>
      <xdr:row>8</xdr:row>
      <xdr:rowOff>0</xdr:rowOff>
    </xdr:from>
    <xdr:to>
      <xdr:col>3</xdr:col>
      <xdr:colOff>0</xdr:colOff>
      <xdr:row>9</xdr:row>
      <xdr:rowOff>0</xdr:rowOff>
    </xdr:to>
    <xdr:sp macro="" textlink="">
      <xdr:nvSpPr>
        <xdr:cNvPr id="437800" name="Text Box 5672">
          <a:hlinkClick xmlns:r="http://schemas.openxmlformats.org/officeDocument/2006/relationships" r:id="rId2"/>
          <a:extLst>
            <a:ext uri="{FF2B5EF4-FFF2-40B4-BE49-F238E27FC236}">
              <a16:creationId xmlns:a16="http://schemas.microsoft.com/office/drawing/2014/main" id="{00000000-0008-0000-1500-000028AE0600}"/>
            </a:ext>
          </a:extLst>
        </xdr:cNvPr>
        <xdr:cNvSpPr txBox="1">
          <a:spLocks noChangeArrowheads="1"/>
        </xdr:cNvSpPr>
      </xdr:nvSpPr>
      <xdr:spPr bwMode="auto">
        <a:xfrm>
          <a:off x="0" y="13335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 weiter &gt;</a:t>
          </a:r>
        </a:p>
      </xdr:txBody>
    </xdr:sp>
    <xdr:clientData fPrintsWithSheet="0"/>
  </xdr:twoCellAnchor>
  <xdr:twoCellAnchor>
    <xdr:from>
      <xdr:col>0</xdr:col>
      <xdr:colOff>0</xdr:colOff>
      <xdr:row>10</xdr:row>
      <xdr:rowOff>0</xdr:rowOff>
    </xdr:from>
    <xdr:to>
      <xdr:col>3</xdr:col>
      <xdr:colOff>0</xdr:colOff>
      <xdr:row>11</xdr:row>
      <xdr:rowOff>0</xdr:rowOff>
    </xdr:to>
    <xdr:sp macro="" textlink="">
      <xdr:nvSpPr>
        <xdr:cNvPr id="437801" name="Text Box 5673">
          <a:hlinkClick xmlns:r="http://schemas.openxmlformats.org/officeDocument/2006/relationships" r:id="rId3"/>
          <a:extLst>
            <a:ext uri="{FF2B5EF4-FFF2-40B4-BE49-F238E27FC236}">
              <a16:creationId xmlns:a16="http://schemas.microsoft.com/office/drawing/2014/main" id="{00000000-0008-0000-1500-000029AE0600}"/>
            </a:ext>
          </a:extLst>
        </xdr:cNvPr>
        <xdr:cNvSpPr txBox="1">
          <a:spLocks noChangeArrowheads="1"/>
        </xdr:cNvSpPr>
      </xdr:nvSpPr>
      <xdr:spPr bwMode="auto">
        <a:xfrm>
          <a:off x="0" y="18923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&lt; zurück</a:t>
          </a:r>
        </a:p>
      </xdr:txBody>
    </xdr:sp>
    <xdr:clientData fPrintsWithSheet="0"/>
  </xdr:twoCellAnchor>
  <xdr:twoCellAnchor>
    <xdr:from>
      <xdr:col>1</xdr:col>
      <xdr:colOff>12700</xdr:colOff>
      <xdr:row>24</xdr:row>
      <xdr:rowOff>0</xdr:rowOff>
    </xdr:from>
    <xdr:to>
      <xdr:col>2</xdr:col>
      <xdr:colOff>12700</xdr:colOff>
      <xdr:row>24</xdr:row>
      <xdr:rowOff>0</xdr:rowOff>
    </xdr:to>
    <xdr:sp macro="" textlink="">
      <xdr:nvSpPr>
        <xdr:cNvPr id="2554596" name="Line 135">
          <a:extLst>
            <a:ext uri="{FF2B5EF4-FFF2-40B4-BE49-F238E27FC236}">
              <a16:creationId xmlns:a16="http://schemas.microsoft.com/office/drawing/2014/main" id="{00000000-0008-0000-1500-0000E4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597" name="Line 330">
          <a:extLst>
            <a:ext uri="{FF2B5EF4-FFF2-40B4-BE49-F238E27FC236}">
              <a16:creationId xmlns:a16="http://schemas.microsoft.com/office/drawing/2014/main" id="{00000000-0008-0000-1500-0000E5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598" name="Line 135">
          <a:extLst>
            <a:ext uri="{FF2B5EF4-FFF2-40B4-BE49-F238E27FC236}">
              <a16:creationId xmlns:a16="http://schemas.microsoft.com/office/drawing/2014/main" id="{00000000-0008-0000-1500-0000E6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599" name="Line 330">
          <a:extLst>
            <a:ext uri="{FF2B5EF4-FFF2-40B4-BE49-F238E27FC236}">
              <a16:creationId xmlns:a16="http://schemas.microsoft.com/office/drawing/2014/main" id="{00000000-0008-0000-1500-0000E7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00" name="Line 330">
          <a:extLst>
            <a:ext uri="{FF2B5EF4-FFF2-40B4-BE49-F238E27FC236}">
              <a16:creationId xmlns:a16="http://schemas.microsoft.com/office/drawing/2014/main" id="{00000000-0008-0000-1500-0000E8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01" name="Line 135">
          <a:extLst>
            <a:ext uri="{FF2B5EF4-FFF2-40B4-BE49-F238E27FC236}">
              <a16:creationId xmlns:a16="http://schemas.microsoft.com/office/drawing/2014/main" id="{00000000-0008-0000-1500-0000E9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02" name="Line 612">
          <a:extLst>
            <a:ext uri="{FF2B5EF4-FFF2-40B4-BE49-F238E27FC236}">
              <a16:creationId xmlns:a16="http://schemas.microsoft.com/office/drawing/2014/main" id="{00000000-0008-0000-1500-0000EA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03" name="Line 135">
          <a:extLst>
            <a:ext uri="{FF2B5EF4-FFF2-40B4-BE49-F238E27FC236}">
              <a16:creationId xmlns:a16="http://schemas.microsoft.com/office/drawing/2014/main" id="{00000000-0008-0000-1500-0000EB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04" name="Line 330">
          <a:extLst>
            <a:ext uri="{FF2B5EF4-FFF2-40B4-BE49-F238E27FC236}">
              <a16:creationId xmlns:a16="http://schemas.microsoft.com/office/drawing/2014/main" id="{00000000-0008-0000-1500-0000EC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05" name="Line 135">
          <a:extLst>
            <a:ext uri="{FF2B5EF4-FFF2-40B4-BE49-F238E27FC236}">
              <a16:creationId xmlns:a16="http://schemas.microsoft.com/office/drawing/2014/main" id="{00000000-0008-0000-1500-0000ED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06" name="Line 330">
          <a:extLst>
            <a:ext uri="{FF2B5EF4-FFF2-40B4-BE49-F238E27FC236}">
              <a16:creationId xmlns:a16="http://schemas.microsoft.com/office/drawing/2014/main" id="{00000000-0008-0000-1500-0000EE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07" name="Line 330">
          <a:extLst>
            <a:ext uri="{FF2B5EF4-FFF2-40B4-BE49-F238E27FC236}">
              <a16:creationId xmlns:a16="http://schemas.microsoft.com/office/drawing/2014/main" id="{00000000-0008-0000-1500-0000EF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08" name="Line 135">
          <a:extLst>
            <a:ext uri="{FF2B5EF4-FFF2-40B4-BE49-F238E27FC236}">
              <a16:creationId xmlns:a16="http://schemas.microsoft.com/office/drawing/2014/main" id="{00000000-0008-0000-1500-0000F0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09" name="Line 612">
          <a:extLst>
            <a:ext uri="{FF2B5EF4-FFF2-40B4-BE49-F238E27FC236}">
              <a16:creationId xmlns:a16="http://schemas.microsoft.com/office/drawing/2014/main" id="{00000000-0008-0000-1500-0000F1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10" name="Line 135">
          <a:extLst>
            <a:ext uri="{FF2B5EF4-FFF2-40B4-BE49-F238E27FC236}">
              <a16:creationId xmlns:a16="http://schemas.microsoft.com/office/drawing/2014/main" id="{00000000-0008-0000-1500-0000F2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11" name="Line 331">
          <a:extLst>
            <a:ext uri="{FF2B5EF4-FFF2-40B4-BE49-F238E27FC236}">
              <a16:creationId xmlns:a16="http://schemas.microsoft.com/office/drawing/2014/main" id="{00000000-0008-0000-1500-0000F3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12" name="Line 135">
          <a:extLst>
            <a:ext uri="{FF2B5EF4-FFF2-40B4-BE49-F238E27FC236}">
              <a16:creationId xmlns:a16="http://schemas.microsoft.com/office/drawing/2014/main" id="{00000000-0008-0000-1500-0000F4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13" name="Line 330">
          <a:extLst>
            <a:ext uri="{FF2B5EF4-FFF2-40B4-BE49-F238E27FC236}">
              <a16:creationId xmlns:a16="http://schemas.microsoft.com/office/drawing/2014/main" id="{00000000-0008-0000-1500-0000F5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14" name="Line 330">
          <a:extLst>
            <a:ext uri="{FF2B5EF4-FFF2-40B4-BE49-F238E27FC236}">
              <a16:creationId xmlns:a16="http://schemas.microsoft.com/office/drawing/2014/main" id="{00000000-0008-0000-1500-0000F6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15" name="Line 135">
          <a:extLst>
            <a:ext uri="{FF2B5EF4-FFF2-40B4-BE49-F238E27FC236}">
              <a16:creationId xmlns:a16="http://schemas.microsoft.com/office/drawing/2014/main" id="{00000000-0008-0000-1500-0000F7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16" name="Line 612">
          <a:extLst>
            <a:ext uri="{FF2B5EF4-FFF2-40B4-BE49-F238E27FC236}">
              <a16:creationId xmlns:a16="http://schemas.microsoft.com/office/drawing/2014/main" id="{00000000-0008-0000-1500-0000F8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17" name="Line 135">
          <a:extLst>
            <a:ext uri="{FF2B5EF4-FFF2-40B4-BE49-F238E27FC236}">
              <a16:creationId xmlns:a16="http://schemas.microsoft.com/office/drawing/2014/main" id="{00000000-0008-0000-1500-0000F9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18" name="Line 330">
          <a:extLst>
            <a:ext uri="{FF2B5EF4-FFF2-40B4-BE49-F238E27FC236}">
              <a16:creationId xmlns:a16="http://schemas.microsoft.com/office/drawing/2014/main" id="{00000000-0008-0000-1500-0000FA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19" name="Line 135">
          <a:extLst>
            <a:ext uri="{FF2B5EF4-FFF2-40B4-BE49-F238E27FC236}">
              <a16:creationId xmlns:a16="http://schemas.microsoft.com/office/drawing/2014/main" id="{00000000-0008-0000-1500-0000FB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20" name="Line 330">
          <a:extLst>
            <a:ext uri="{FF2B5EF4-FFF2-40B4-BE49-F238E27FC236}">
              <a16:creationId xmlns:a16="http://schemas.microsoft.com/office/drawing/2014/main" id="{00000000-0008-0000-1500-0000FC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21" name="Line 330">
          <a:extLst>
            <a:ext uri="{FF2B5EF4-FFF2-40B4-BE49-F238E27FC236}">
              <a16:creationId xmlns:a16="http://schemas.microsoft.com/office/drawing/2014/main" id="{00000000-0008-0000-1500-0000FD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22" name="Line 135">
          <a:extLst>
            <a:ext uri="{FF2B5EF4-FFF2-40B4-BE49-F238E27FC236}">
              <a16:creationId xmlns:a16="http://schemas.microsoft.com/office/drawing/2014/main" id="{00000000-0008-0000-1500-0000FE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23" name="Line 612">
          <a:extLst>
            <a:ext uri="{FF2B5EF4-FFF2-40B4-BE49-F238E27FC236}">
              <a16:creationId xmlns:a16="http://schemas.microsoft.com/office/drawing/2014/main" id="{00000000-0008-0000-1500-0000FF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24" name="Line 135">
          <a:extLst>
            <a:ext uri="{FF2B5EF4-FFF2-40B4-BE49-F238E27FC236}">
              <a16:creationId xmlns:a16="http://schemas.microsoft.com/office/drawing/2014/main" id="{00000000-0008-0000-1500-000000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25" name="Line 331">
          <a:extLst>
            <a:ext uri="{FF2B5EF4-FFF2-40B4-BE49-F238E27FC236}">
              <a16:creationId xmlns:a16="http://schemas.microsoft.com/office/drawing/2014/main" id="{00000000-0008-0000-1500-000001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26" name="Line 135">
          <a:extLst>
            <a:ext uri="{FF2B5EF4-FFF2-40B4-BE49-F238E27FC236}">
              <a16:creationId xmlns:a16="http://schemas.microsoft.com/office/drawing/2014/main" id="{00000000-0008-0000-1500-000002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27" name="Line 330">
          <a:extLst>
            <a:ext uri="{FF2B5EF4-FFF2-40B4-BE49-F238E27FC236}">
              <a16:creationId xmlns:a16="http://schemas.microsoft.com/office/drawing/2014/main" id="{00000000-0008-0000-1500-000003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28" name="Line 330">
          <a:extLst>
            <a:ext uri="{FF2B5EF4-FFF2-40B4-BE49-F238E27FC236}">
              <a16:creationId xmlns:a16="http://schemas.microsoft.com/office/drawing/2014/main" id="{00000000-0008-0000-1500-000004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29" name="Line 135">
          <a:extLst>
            <a:ext uri="{FF2B5EF4-FFF2-40B4-BE49-F238E27FC236}">
              <a16:creationId xmlns:a16="http://schemas.microsoft.com/office/drawing/2014/main" id="{00000000-0008-0000-1500-000005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30" name="Line 612">
          <a:extLst>
            <a:ext uri="{FF2B5EF4-FFF2-40B4-BE49-F238E27FC236}">
              <a16:creationId xmlns:a16="http://schemas.microsoft.com/office/drawing/2014/main" id="{00000000-0008-0000-1500-000006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31" name="Line 135">
          <a:extLst>
            <a:ext uri="{FF2B5EF4-FFF2-40B4-BE49-F238E27FC236}">
              <a16:creationId xmlns:a16="http://schemas.microsoft.com/office/drawing/2014/main" id="{00000000-0008-0000-1500-000007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32" name="Line 330">
          <a:extLst>
            <a:ext uri="{FF2B5EF4-FFF2-40B4-BE49-F238E27FC236}">
              <a16:creationId xmlns:a16="http://schemas.microsoft.com/office/drawing/2014/main" id="{00000000-0008-0000-1500-000008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33" name="Line 135">
          <a:extLst>
            <a:ext uri="{FF2B5EF4-FFF2-40B4-BE49-F238E27FC236}">
              <a16:creationId xmlns:a16="http://schemas.microsoft.com/office/drawing/2014/main" id="{00000000-0008-0000-1500-000009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34" name="Line 330">
          <a:extLst>
            <a:ext uri="{FF2B5EF4-FFF2-40B4-BE49-F238E27FC236}">
              <a16:creationId xmlns:a16="http://schemas.microsoft.com/office/drawing/2014/main" id="{00000000-0008-0000-1500-00000A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35" name="Line 330">
          <a:extLst>
            <a:ext uri="{FF2B5EF4-FFF2-40B4-BE49-F238E27FC236}">
              <a16:creationId xmlns:a16="http://schemas.microsoft.com/office/drawing/2014/main" id="{00000000-0008-0000-1500-00000B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36" name="Line 135">
          <a:extLst>
            <a:ext uri="{FF2B5EF4-FFF2-40B4-BE49-F238E27FC236}">
              <a16:creationId xmlns:a16="http://schemas.microsoft.com/office/drawing/2014/main" id="{00000000-0008-0000-1500-00000C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37" name="Line 612">
          <a:extLst>
            <a:ext uri="{FF2B5EF4-FFF2-40B4-BE49-F238E27FC236}">
              <a16:creationId xmlns:a16="http://schemas.microsoft.com/office/drawing/2014/main" id="{00000000-0008-0000-1500-00000D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38" name="Line 135">
          <a:extLst>
            <a:ext uri="{FF2B5EF4-FFF2-40B4-BE49-F238E27FC236}">
              <a16:creationId xmlns:a16="http://schemas.microsoft.com/office/drawing/2014/main" id="{00000000-0008-0000-1500-00000E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39" name="Line 330">
          <a:extLst>
            <a:ext uri="{FF2B5EF4-FFF2-40B4-BE49-F238E27FC236}">
              <a16:creationId xmlns:a16="http://schemas.microsoft.com/office/drawing/2014/main" id="{00000000-0008-0000-1500-00000F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40" name="Line 330">
          <a:extLst>
            <a:ext uri="{FF2B5EF4-FFF2-40B4-BE49-F238E27FC236}">
              <a16:creationId xmlns:a16="http://schemas.microsoft.com/office/drawing/2014/main" id="{00000000-0008-0000-1500-000010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41" name="Line 135">
          <a:extLst>
            <a:ext uri="{FF2B5EF4-FFF2-40B4-BE49-F238E27FC236}">
              <a16:creationId xmlns:a16="http://schemas.microsoft.com/office/drawing/2014/main" id="{00000000-0008-0000-1500-000011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42" name="Line 612">
          <a:extLst>
            <a:ext uri="{FF2B5EF4-FFF2-40B4-BE49-F238E27FC236}">
              <a16:creationId xmlns:a16="http://schemas.microsoft.com/office/drawing/2014/main" id="{00000000-0008-0000-1500-000012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43" name="Line 330">
          <a:extLst>
            <a:ext uri="{FF2B5EF4-FFF2-40B4-BE49-F238E27FC236}">
              <a16:creationId xmlns:a16="http://schemas.microsoft.com/office/drawing/2014/main" id="{00000000-0008-0000-1500-000013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44" name="Line 135">
          <a:extLst>
            <a:ext uri="{FF2B5EF4-FFF2-40B4-BE49-F238E27FC236}">
              <a16:creationId xmlns:a16="http://schemas.microsoft.com/office/drawing/2014/main" id="{00000000-0008-0000-1500-000014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45" name="Line 612">
          <a:extLst>
            <a:ext uri="{FF2B5EF4-FFF2-40B4-BE49-F238E27FC236}">
              <a16:creationId xmlns:a16="http://schemas.microsoft.com/office/drawing/2014/main" id="{00000000-0008-0000-1500-000015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12700</xdr:colOff>
      <xdr:row>24</xdr:row>
      <xdr:rowOff>0</xdr:rowOff>
    </xdr:from>
    <xdr:to>
      <xdr:col>2</xdr:col>
      <xdr:colOff>12700</xdr:colOff>
      <xdr:row>24</xdr:row>
      <xdr:rowOff>0</xdr:rowOff>
    </xdr:to>
    <xdr:sp macro="" textlink="">
      <xdr:nvSpPr>
        <xdr:cNvPr id="2588862" name="Line 135">
          <a:extLst>
            <a:ext uri="{FF2B5EF4-FFF2-40B4-BE49-F238E27FC236}">
              <a16:creationId xmlns:a16="http://schemas.microsoft.com/office/drawing/2014/main" id="{00000000-0008-0000-1600-0000BE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863" name="Line 330">
          <a:extLst>
            <a:ext uri="{FF2B5EF4-FFF2-40B4-BE49-F238E27FC236}">
              <a16:creationId xmlns:a16="http://schemas.microsoft.com/office/drawing/2014/main" id="{00000000-0008-0000-1600-0000BF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864" name="Line 135">
          <a:extLst>
            <a:ext uri="{FF2B5EF4-FFF2-40B4-BE49-F238E27FC236}">
              <a16:creationId xmlns:a16="http://schemas.microsoft.com/office/drawing/2014/main" id="{00000000-0008-0000-1600-0000C0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865" name="Line 330">
          <a:extLst>
            <a:ext uri="{FF2B5EF4-FFF2-40B4-BE49-F238E27FC236}">
              <a16:creationId xmlns:a16="http://schemas.microsoft.com/office/drawing/2014/main" id="{00000000-0008-0000-1600-0000C1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866" name="Line 330">
          <a:extLst>
            <a:ext uri="{FF2B5EF4-FFF2-40B4-BE49-F238E27FC236}">
              <a16:creationId xmlns:a16="http://schemas.microsoft.com/office/drawing/2014/main" id="{00000000-0008-0000-1600-0000C2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88867" name="Line 4">
          <a:extLst>
            <a:ext uri="{FF2B5EF4-FFF2-40B4-BE49-F238E27FC236}">
              <a16:creationId xmlns:a16="http://schemas.microsoft.com/office/drawing/2014/main" id="{00000000-0008-0000-1600-0000C3802700}"/>
            </a:ext>
          </a:extLst>
        </xdr:cNvPr>
        <xdr:cNvSpPr>
          <a:spLocks noChangeShapeType="1"/>
        </xdr:cNvSpPr>
      </xdr:nvSpPr>
      <xdr:spPr bwMode="auto">
        <a:xfrm>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88868" name="Line 5">
          <a:extLst>
            <a:ext uri="{FF2B5EF4-FFF2-40B4-BE49-F238E27FC236}">
              <a16:creationId xmlns:a16="http://schemas.microsoft.com/office/drawing/2014/main" id="{00000000-0008-0000-1600-0000C4802700}"/>
            </a:ext>
          </a:extLst>
        </xdr:cNvPr>
        <xdr:cNvSpPr>
          <a:spLocks noChangeShapeType="1"/>
        </xdr:cNvSpPr>
      </xdr:nvSpPr>
      <xdr:spPr bwMode="auto">
        <a:xfrm flipV="1">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88869" name="Line 8">
          <a:extLst>
            <a:ext uri="{FF2B5EF4-FFF2-40B4-BE49-F238E27FC236}">
              <a16:creationId xmlns:a16="http://schemas.microsoft.com/office/drawing/2014/main" id="{00000000-0008-0000-1600-0000C580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88870" name="Line 9">
          <a:extLst>
            <a:ext uri="{FF2B5EF4-FFF2-40B4-BE49-F238E27FC236}">
              <a16:creationId xmlns:a16="http://schemas.microsoft.com/office/drawing/2014/main" id="{00000000-0008-0000-1600-0000C680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88871" name="Line 10">
          <a:extLst>
            <a:ext uri="{FF2B5EF4-FFF2-40B4-BE49-F238E27FC236}">
              <a16:creationId xmlns:a16="http://schemas.microsoft.com/office/drawing/2014/main" id="{00000000-0008-0000-1600-0000C780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88872" name="Line 11">
          <a:extLst>
            <a:ext uri="{FF2B5EF4-FFF2-40B4-BE49-F238E27FC236}">
              <a16:creationId xmlns:a16="http://schemas.microsoft.com/office/drawing/2014/main" id="{00000000-0008-0000-1600-0000C880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88873" name="Line 20">
          <a:extLst>
            <a:ext uri="{FF2B5EF4-FFF2-40B4-BE49-F238E27FC236}">
              <a16:creationId xmlns:a16="http://schemas.microsoft.com/office/drawing/2014/main" id="{00000000-0008-0000-1600-0000C980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88874" name="Line 21">
          <a:extLst>
            <a:ext uri="{FF2B5EF4-FFF2-40B4-BE49-F238E27FC236}">
              <a16:creationId xmlns:a16="http://schemas.microsoft.com/office/drawing/2014/main" id="{00000000-0008-0000-1600-0000CA80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88875" name="Line 22">
          <a:extLst>
            <a:ext uri="{FF2B5EF4-FFF2-40B4-BE49-F238E27FC236}">
              <a16:creationId xmlns:a16="http://schemas.microsoft.com/office/drawing/2014/main" id="{00000000-0008-0000-1600-0000CB80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88876" name="Line 23">
          <a:extLst>
            <a:ext uri="{FF2B5EF4-FFF2-40B4-BE49-F238E27FC236}">
              <a16:creationId xmlns:a16="http://schemas.microsoft.com/office/drawing/2014/main" id="{00000000-0008-0000-1600-0000CC80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88877" name="Line 26">
          <a:extLst>
            <a:ext uri="{FF2B5EF4-FFF2-40B4-BE49-F238E27FC236}">
              <a16:creationId xmlns:a16="http://schemas.microsoft.com/office/drawing/2014/main" id="{00000000-0008-0000-1600-0000CD80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88878" name="Line 27">
          <a:extLst>
            <a:ext uri="{FF2B5EF4-FFF2-40B4-BE49-F238E27FC236}">
              <a16:creationId xmlns:a16="http://schemas.microsoft.com/office/drawing/2014/main" id="{00000000-0008-0000-1600-0000CE80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88879" name="Line 28">
          <a:extLst>
            <a:ext uri="{FF2B5EF4-FFF2-40B4-BE49-F238E27FC236}">
              <a16:creationId xmlns:a16="http://schemas.microsoft.com/office/drawing/2014/main" id="{00000000-0008-0000-1600-0000CF80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88880" name="Line 29">
          <a:extLst>
            <a:ext uri="{FF2B5EF4-FFF2-40B4-BE49-F238E27FC236}">
              <a16:creationId xmlns:a16="http://schemas.microsoft.com/office/drawing/2014/main" id="{00000000-0008-0000-1600-0000D0802700}"/>
            </a:ext>
          </a:extLst>
        </xdr:cNvPr>
        <xdr:cNvSpPr>
          <a:spLocks noChangeShapeType="1"/>
        </xdr:cNvSpPr>
      </xdr:nvSpPr>
      <xdr:spPr bwMode="auto">
        <a:xfrm>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88881" name="Line 30">
          <a:extLst>
            <a:ext uri="{FF2B5EF4-FFF2-40B4-BE49-F238E27FC236}">
              <a16:creationId xmlns:a16="http://schemas.microsoft.com/office/drawing/2014/main" id="{00000000-0008-0000-1600-0000D1802700}"/>
            </a:ext>
          </a:extLst>
        </xdr:cNvPr>
        <xdr:cNvSpPr>
          <a:spLocks noChangeShapeType="1"/>
        </xdr:cNvSpPr>
      </xdr:nvSpPr>
      <xdr:spPr bwMode="auto">
        <a:xfrm flipV="1">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88882" name="Line 31">
          <a:extLst>
            <a:ext uri="{FF2B5EF4-FFF2-40B4-BE49-F238E27FC236}">
              <a16:creationId xmlns:a16="http://schemas.microsoft.com/office/drawing/2014/main" id="{00000000-0008-0000-1600-0000D2802700}"/>
            </a:ext>
          </a:extLst>
        </xdr:cNvPr>
        <xdr:cNvSpPr>
          <a:spLocks noChangeShapeType="1"/>
        </xdr:cNvSpPr>
      </xdr:nvSpPr>
      <xdr:spPr bwMode="auto">
        <a:xfrm>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88883" name="Line 32">
          <a:extLst>
            <a:ext uri="{FF2B5EF4-FFF2-40B4-BE49-F238E27FC236}">
              <a16:creationId xmlns:a16="http://schemas.microsoft.com/office/drawing/2014/main" id="{00000000-0008-0000-1600-0000D380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88884" name="Line 33">
          <a:extLst>
            <a:ext uri="{FF2B5EF4-FFF2-40B4-BE49-F238E27FC236}">
              <a16:creationId xmlns:a16="http://schemas.microsoft.com/office/drawing/2014/main" id="{00000000-0008-0000-1600-0000D480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88885" name="Line 34">
          <a:extLst>
            <a:ext uri="{FF2B5EF4-FFF2-40B4-BE49-F238E27FC236}">
              <a16:creationId xmlns:a16="http://schemas.microsoft.com/office/drawing/2014/main" id="{00000000-0008-0000-1600-0000D580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88886" name="Line 35">
          <a:extLst>
            <a:ext uri="{FF2B5EF4-FFF2-40B4-BE49-F238E27FC236}">
              <a16:creationId xmlns:a16="http://schemas.microsoft.com/office/drawing/2014/main" id="{00000000-0008-0000-1600-0000D680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27</xdr:row>
      <xdr:rowOff>0</xdr:rowOff>
    </xdr:to>
    <xdr:sp macro="" textlink="">
      <xdr:nvSpPr>
        <xdr:cNvPr id="2588887" name="Line 36">
          <a:extLst>
            <a:ext uri="{FF2B5EF4-FFF2-40B4-BE49-F238E27FC236}">
              <a16:creationId xmlns:a16="http://schemas.microsoft.com/office/drawing/2014/main" id="{00000000-0008-0000-1600-0000D780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88888" name="Line 38">
          <a:extLst>
            <a:ext uri="{FF2B5EF4-FFF2-40B4-BE49-F238E27FC236}">
              <a16:creationId xmlns:a16="http://schemas.microsoft.com/office/drawing/2014/main" id="{00000000-0008-0000-1600-0000D8802700}"/>
            </a:ext>
          </a:extLst>
        </xdr:cNvPr>
        <xdr:cNvSpPr>
          <a:spLocks noChangeShapeType="1"/>
        </xdr:cNvSpPr>
      </xdr:nvSpPr>
      <xdr:spPr bwMode="auto">
        <a:xfrm flipV="1">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88889" name="Line 39">
          <a:extLst>
            <a:ext uri="{FF2B5EF4-FFF2-40B4-BE49-F238E27FC236}">
              <a16:creationId xmlns:a16="http://schemas.microsoft.com/office/drawing/2014/main" id="{00000000-0008-0000-1600-0000D9802700}"/>
            </a:ext>
          </a:extLst>
        </xdr:cNvPr>
        <xdr:cNvSpPr>
          <a:spLocks noChangeShapeType="1"/>
        </xdr:cNvSpPr>
      </xdr:nvSpPr>
      <xdr:spPr bwMode="auto">
        <a:xfrm>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88890" name="Line 40">
          <a:extLst>
            <a:ext uri="{FF2B5EF4-FFF2-40B4-BE49-F238E27FC236}">
              <a16:creationId xmlns:a16="http://schemas.microsoft.com/office/drawing/2014/main" id="{00000000-0008-0000-1600-0000DA802700}"/>
            </a:ext>
          </a:extLst>
        </xdr:cNvPr>
        <xdr:cNvSpPr>
          <a:spLocks noChangeShapeType="1"/>
        </xdr:cNvSpPr>
      </xdr:nvSpPr>
      <xdr:spPr bwMode="auto">
        <a:xfrm flipV="1">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88891" name="Line 41">
          <a:extLst>
            <a:ext uri="{FF2B5EF4-FFF2-40B4-BE49-F238E27FC236}">
              <a16:creationId xmlns:a16="http://schemas.microsoft.com/office/drawing/2014/main" id="{00000000-0008-0000-1600-0000DB80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88892" name="Line 42">
          <a:extLst>
            <a:ext uri="{FF2B5EF4-FFF2-40B4-BE49-F238E27FC236}">
              <a16:creationId xmlns:a16="http://schemas.microsoft.com/office/drawing/2014/main" id="{00000000-0008-0000-1600-0000DC802700}"/>
            </a:ext>
          </a:extLst>
        </xdr:cNvPr>
        <xdr:cNvSpPr>
          <a:spLocks noChangeShapeType="1"/>
        </xdr:cNvSpPr>
      </xdr:nvSpPr>
      <xdr:spPr bwMode="auto">
        <a:xfrm flipV="1">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88893" name="Line 43">
          <a:extLst>
            <a:ext uri="{FF2B5EF4-FFF2-40B4-BE49-F238E27FC236}">
              <a16:creationId xmlns:a16="http://schemas.microsoft.com/office/drawing/2014/main" id="{00000000-0008-0000-1600-0000DD802700}"/>
            </a:ext>
          </a:extLst>
        </xdr:cNvPr>
        <xdr:cNvSpPr>
          <a:spLocks noChangeShapeType="1"/>
        </xdr:cNvSpPr>
      </xdr:nvSpPr>
      <xdr:spPr bwMode="auto">
        <a:xfrm>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88894" name="Line 44">
          <a:extLst>
            <a:ext uri="{FF2B5EF4-FFF2-40B4-BE49-F238E27FC236}">
              <a16:creationId xmlns:a16="http://schemas.microsoft.com/office/drawing/2014/main" id="{00000000-0008-0000-1600-0000DE802700}"/>
            </a:ext>
          </a:extLst>
        </xdr:cNvPr>
        <xdr:cNvSpPr>
          <a:spLocks noChangeShapeType="1"/>
        </xdr:cNvSpPr>
      </xdr:nvSpPr>
      <xdr:spPr bwMode="auto">
        <a:xfrm flipV="1">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88895" name="Line 45">
          <a:extLst>
            <a:ext uri="{FF2B5EF4-FFF2-40B4-BE49-F238E27FC236}">
              <a16:creationId xmlns:a16="http://schemas.microsoft.com/office/drawing/2014/main" id="{00000000-0008-0000-1600-0000DF802700}"/>
            </a:ext>
          </a:extLst>
        </xdr:cNvPr>
        <xdr:cNvSpPr>
          <a:spLocks noChangeShapeType="1"/>
        </xdr:cNvSpPr>
      </xdr:nvSpPr>
      <xdr:spPr bwMode="auto">
        <a:xfrm>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88896" name="Line 46">
          <a:extLst>
            <a:ext uri="{FF2B5EF4-FFF2-40B4-BE49-F238E27FC236}">
              <a16:creationId xmlns:a16="http://schemas.microsoft.com/office/drawing/2014/main" id="{00000000-0008-0000-1600-0000E080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88897" name="Line 47">
          <a:extLst>
            <a:ext uri="{FF2B5EF4-FFF2-40B4-BE49-F238E27FC236}">
              <a16:creationId xmlns:a16="http://schemas.microsoft.com/office/drawing/2014/main" id="{00000000-0008-0000-1600-0000E180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88898" name="Line 49">
          <a:extLst>
            <a:ext uri="{FF2B5EF4-FFF2-40B4-BE49-F238E27FC236}">
              <a16:creationId xmlns:a16="http://schemas.microsoft.com/office/drawing/2014/main" id="{00000000-0008-0000-1600-0000E280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88899" name="Line 50">
          <a:extLst>
            <a:ext uri="{FF2B5EF4-FFF2-40B4-BE49-F238E27FC236}">
              <a16:creationId xmlns:a16="http://schemas.microsoft.com/office/drawing/2014/main" id="{00000000-0008-0000-1600-0000E380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88900" name="Line 51">
          <a:extLst>
            <a:ext uri="{FF2B5EF4-FFF2-40B4-BE49-F238E27FC236}">
              <a16:creationId xmlns:a16="http://schemas.microsoft.com/office/drawing/2014/main" id="{00000000-0008-0000-1600-0000E480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88901" name="Line 52">
          <a:extLst>
            <a:ext uri="{FF2B5EF4-FFF2-40B4-BE49-F238E27FC236}">
              <a16:creationId xmlns:a16="http://schemas.microsoft.com/office/drawing/2014/main" id="{00000000-0008-0000-1600-0000E580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88902" name="Line 53">
          <a:extLst>
            <a:ext uri="{FF2B5EF4-FFF2-40B4-BE49-F238E27FC236}">
              <a16:creationId xmlns:a16="http://schemas.microsoft.com/office/drawing/2014/main" id="{00000000-0008-0000-1600-0000E6802700}"/>
            </a:ext>
          </a:extLst>
        </xdr:cNvPr>
        <xdr:cNvSpPr>
          <a:spLocks noChangeShapeType="1"/>
        </xdr:cNvSpPr>
      </xdr:nvSpPr>
      <xdr:spPr bwMode="auto">
        <a:xfrm flipV="1">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88903" name="Line 54">
          <a:extLst>
            <a:ext uri="{FF2B5EF4-FFF2-40B4-BE49-F238E27FC236}">
              <a16:creationId xmlns:a16="http://schemas.microsoft.com/office/drawing/2014/main" id="{00000000-0008-0000-1600-0000E7802700}"/>
            </a:ext>
          </a:extLst>
        </xdr:cNvPr>
        <xdr:cNvSpPr>
          <a:spLocks noChangeShapeType="1"/>
        </xdr:cNvSpPr>
      </xdr:nvSpPr>
      <xdr:spPr bwMode="auto">
        <a:xfrm>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88904" name="Line 58">
          <a:extLst>
            <a:ext uri="{FF2B5EF4-FFF2-40B4-BE49-F238E27FC236}">
              <a16:creationId xmlns:a16="http://schemas.microsoft.com/office/drawing/2014/main" id="{00000000-0008-0000-1600-0000E880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88905" name="Line 59">
          <a:extLst>
            <a:ext uri="{FF2B5EF4-FFF2-40B4-BE49-F238E27FC236}">
              <a16:creationId xmlns:a16="http://schemas.microsoft.com/office/drawing/2014/main" id="{00000000-0008-0000-1600-0000E980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88906" name="Line 129">
          <a:extLst>
            <a:ext uri="{FF2B5EF4-FFF2-40B4-BE49-F238E27FC236}">
              <a16:creationId xmlns:a16="http://schemas.microsoft.com/office/drawing/2014/main" id="{00000000-0008-0000-1600-0000EA802700}"/>
            </a:ext>
          </a:extLst>
        </xdr:cNvPr>
        <xdr:cNvSpPr>
          <a:spLocks noChangeShapeType="1"/>
        </xdr:cNvSpPr>
      </xdr:nvSpPr>
      <xdr:spPr bwMode="auto">
        <a:xfrm flipV="1">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88907" name="Line 130">
          <a:extLst>
            <a:ext uri="{FF2B5EF4-FFF2-40B4-BE49-F238E27FC236}">
              <a16:creationId xmlns:a16="http://schemas.microsoft.com/office/drawing/2014/main" id="{00000000-0008-0000-1600-0000EB802700}"/>
            </a:ext>
          </a:extLst>
        </xdr:cNvPr>
        <xdr:cNvSpPr>
          <a:spLocks noChangeShapeType="1"/>
        </xdr:cNvSpPr>
      </xdr:nvSpPr>
      <xdr:spPr bwMode="auto">
        <a:xfrm>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88908" name="Line 131">
          <a:extLst>
            <a:ext uri="{FF2B5EF4-FFF2-40B4-BE49-F238E27FC236}">
              <a16:creationId xmlns:a16="http://schemas.microsoft.com/office/drawing/2014/main" id="{00000000-0008-0000-1600-0000EC80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88909" name="Line 132">
          <a:extLst>
            <a:ext uri="{FF2B5EF4-FFF2-40B4-BE49-F238E27FC236}">
              <a16:creationId xmlns:a16="http://schemas.microsoft.com/office/drawing/2014/main" id="{00000000-0008-0000-1600-0000ED80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88910" name="Line 133">
          <a:extLst>
            <a:ext uri="{FF2B5EF4-FFF2-40B4-BE49-F238E27FC236}">
              <a16:creationId xmlns:a16="http://schemas.microsoft.com/office/drawing/2014/main" id="{00000000-0008-0000-1600-0000EE80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88911" name="Line 134">
          <a:extLst>
            <a:ext uri="{FF2B5EF4-FFF2-40B4-BE49-F238E27FC236}">
              <a16:creationId xmlns:a16="http://schemas.microsoft.com/office/drawing/2014/main" id="{00000000-0008-0000-1600-0000EF80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12" name="Line 135">
          <a:extLst>
            <a:ext uri="{FF2B5EF4-FFF2-40B4-BE49-F238E27FC236}">
              <a16:creationId xmlns:a16="http://schemas.microsoft.com/office/drawing/2014/main" id="{00000000-0008-0000-1600-0000F0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24</xdr:row>
      <xdr:rowOff>0</xdr:rowOff>
    </xdr:to>
    <xdr:sp macro="" textlink="">
      <xdr:nvSpPr>
        <xdr:cNvPr id="2588913" name="Line 136">
          <a:extLst>
            <a:ext uri="{FF2B5EF4-FFF2-40B4-BE49-F238E27FC236}">
              <a16:creationId xmlns:a16="http://schemas.microsoft.com/office/drawing/2014/main" id="{00000000-0008-0000-1600-0000F180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88914" name="Line 141">
          <a:extLst>
            <a:ext uri="{FF2B5EF4-FFF2-40B4-BE49-F238E27FC236}">
              <a16:creationId xmlns:a16="http://schemas.microsoft.com/office/drawing/2014/main" id="{00000000-0008-0000-1600-0000F2802700}"/>
            </a:ext>
          </a:extLst>
        </xdr:cNvPr>
        <xdr:cNvSpPr>
          <a:spLocks noChangeShapeType="1"/>
        </xdr:cNvSpPr>
      </xdr:nvSpPr>
      <xdr:spPr bwMode="auto">
        <a:xfrm flipV="1">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88915" name="Line 142">
          <a:extLst>
            <a:ext uri="{FF2B5EF4-FFF2-40B4-BE49-F238E27FC236}">
              <a16:creationId xmlns:a16="http://schemas.microsoft.com/office/drawing/2014/main" id="{00000000-0008-0000-1600-0000F3802700}"/>
            </a:ext>
          </a:extLst>
        </xdr:cNvPr>
        <xdr:cNvSpPr>
          <a:spLocks noChangeShapeType="1"/>
        </xdr:cNvSpPr>
      </xdr:nvSpPr>
      <xdr:spPr bwMode="auto">
        <a:xfrm>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16" name="Line 612">
          <a:extLst>
            <a:ext uri="{FF2B5EF4-FFF2-40B4-BE49-F238E27FC236}">
              <a16:creationId xmlns:a16="http://schemas.microsoft.com/office/drawing/2014/main" id="{00000000-0008-0000-1600-0000F4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0</xdr:col>
      <xdr:colOff>0</xdr:colOff>
      <xdr:row>6</xdr:row>
      <xdr:rowOff>0</xdr:rowOff>
    </xdr:from>
    <xdr:to>
      <xdr:col>3</xdr:col>
      <xdr:colOff>0</xdr:colOff>
      <xdr:row>7</xdr:row>
      <xdr:rowOff>0</xdr:rowOff>
    </xdr:to>
    <xdr:sp macro="" textlink="">
      <xdr:nvSpPr>
        <xdr:cNvPr id="438823" name="Text Box 5671">
          <a:hlinkClick xmlns:r="http://schemas.openxmlformats.org/officeDocument/2006/relationships" r:id="rId1"/>
          <a:extLst>
            <a:ext uri="{FF2B5EF4-FFF2-40B4-BE49-F238E27FC236}">
              <a16:creationId xmlns:a16="http://schemas.microsoft.com/office/drawing/2014/main" id="{00000000-0008-0000-1600-000027B20600}"/>
            </a:ext>
          </a:extLst>
        </xdr:cNvPr>
        <xdr:cNvSpPr txBox="1">
          <a:spLocks noChangeArrowheads="1"/>
        </xdr:cNvSpPr>
      </xdr:nvSpPr>
      <xdr:spPr bwMode="auto">
        <a:xfrm>
          <a:off x="0" y="774700"/>
          <a:ext cx="1714500" cy="2794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zur Startseite</a:t>
          </a:r>
        </a:p>
      </xdr:txBody>
    </xdr:sp>
    <xdr:clientData fPrintsWithSheet="0"/>
  </xdr:twoCellAnchor>
  <xdr:twoCellAnchor>
    <xdr:from>
      <xdr:col>0</xdr:col>
      <xdr:colOff>0</xdr:colOff>
      <xdr:row>8</xdr:row>
      <xdr:rowOff>0</xdr:rowOff>
    </xdr:from>
    <xdr:to>
      <xdr:col>3</xdr:col>
      <xdr:colOff>0</xdr:colOff>
      <xdr:row>9</xdr:row>
      <xdr:rowOff>0</xdr:rowOff>
    </xdr:to>
    <xdr:sp macro="" textlink="">
      <xdr:nvSpPr>
        <xdr:cNvPr id="438824" name="Text Box 5672">
          <a:hlinkClick xmlns:r="http://schemas.openxmlformats.org/officeDocument/2006/relationships" r:id="rId2"/>
          <a:extLst>
            <a:ext uri="{FF2B5EF4-FFF2-40B4-BE49-F238E27FC236}">
              <a16:creationId xmlns:a16="http://schemas.microsoft.com/office/drawing/2014/main" id="{00000000-0008-0000-1600-000028B20600}"/>
            </a:ext>
          </a:extLst>
        </xdr:cNvPr>
        <xdr:cNvSpPr txBox="1">
          <a:spLocks noChangeArrowheads="1"/>
        </xdr:cNvSpPr>
      </xdr:nvSpPr>
      <xdr:spPr bwMode="auto">
        <a:xfrm>
          <a:off x="0" y="13335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 weiter &gt;</a:t>
          </a:r>
        </a:p>
      </xdr:txBody>
    </xdr:sp>
    <xdr:clientData fPrintsWithSheet="0"/>
  </xdr:twoCellAnchor>
  <xdr:twoCellAnchor>
    <xdr:from>
      <xdr:col>0</xdr:col>
      <xdr:colOff>0</xdr:colOff>
      <xdr:row>10</xdr:row>
      <xdr:rowOff>0</xdr:rowOff>
    </xdr:from>
    <xdr:to>
      <xdr:col>3</xdr:col>
      <xdr:colOff>0</xdr:colOff>
      <xdr:row>11</xdr:row>
      <xdr:rowOff>0</xdr:rowOff>
    </xdr:to>
    <xdr:sp macro="" textlink="">
      <xdr:nvSpPr>
        <xdr:cNvPr id="438825" name="Text Box 5673">
          <a:hlinkClick xmlns:r="http://schemas.openxmlformats.org/officeDocument/2006/relationships" r:id="rId3"/>
          <a:extLst>
            <a:ext uri="{FF2B5EF4-FFF2-40B4-BE49-F238E27FC236}">
              <a16:creationId xmlns:a16="http://schemas.microsoft.com/office/drawing/2014/main" id="{00000000-0008-0000-1600-000029B20600}"/>
            </a:ext>
          </a:extLst>
        </xdr:cNvPr>
        <xdr:cNvSpPr txBox="1">
          <a:spLocks noChangeArrowheads="1"/>
        </xdr:cNvSpPr>
      </xdr:nvSpPr>
      <xdr:spPr bwMode="auto">
        <a:xfrm>
          <a:off x="0" y="18923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&lt; zurück</a:t>
          </a:r>
        </a:p>
      </xdr:txBody>
    </xdr:sp>
    <xdr:clientData fPrintsWithSheet="0"/>
  </xdr:twoCellAnchor>
  <xdr:twoCellAnchor>
    <xdr:from>
      <xdr:col>1</xdr:col>
      <xdr:colOff>12700</xdr:colOff>
      <xdr:row>24</xdr:row>
      <xdr:rowOff>0</xdr:rowOff>
    </xdr:from>
    <xdr:to>
      <xdr:col>2</xdr:col>
      <xdr:colOff>12700</xdr:colOff>
      <xdr:row>24</xdr:row>
      <xdr:rowOff>0</xdr:rowOff>
    </xdr:to>
    <xdr:sp macro="" textlink="">
      <xdr:nvSpPr>
        <xdr:cNvPr id="2588920" name="Line 135">
          <a:extLst>
            <a:ext uri="{FF2B5EF4-FFF2-40B4-BE49-F238E27FC236}">
              <a16:creationId xmlns:a16="http://schemas.microsoft.com/office/drawing/2014/main" id="{00000000-0008-0000-1600-0000F8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21" name="Line 330">
          <a:extLst>
            <a:ext uri="{FF2B5EF4-FFF2-40B4-BE49-F238E27FC236}">
              <a16:creationId xmlns:a16="http://schemas.microsoft.com/office/drawing/2014/main" id="{00000000-0008-0000-1600-0000F9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22" name="Line 135">
          <a:extLst>
            <a:ext uri="{FF2B5EF4-FFF2-40B4-BE49-F238E27FC236}">
              <a16:creationId xmlns:a16="http://schemas.microsoft.com/office/drawing/2014/main" id="{00000000-0008-0000-1600-0000FA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23" name="Line 330">
          <a:extLst>
            <a:ext uri="{FF2B5EF4-FFF2-40B4-BE49-F238E27FC236}">
              <a16:creationId xmlns:a16="http://schemas.microsoft.com/office/drawing/2014/main" id="{00000000-0008-0000-1600-0000FB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24" name="Line 330">
          <a:extLst>
            <a:ext uri="{FF2B5EF4-FFF2-40B4-BE49-F238E27FC236}">
              <a16:creationId xmlns:a16="http://schemas.microsoft.com/office/drawing/2014/main" id="{00000000-0008-0000-1600-0000FC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25" name="Line 135">
          <a:extLst>
            <a:ext uri="{FF2B5EF4-FFF2-40B4-BE49-F238E27FC236}">
              <a16:creationId xmlns:a16="http://schemas.microsoft.com/office/drawing/2014/main" id="{00000000-0008-0000-1600-0000FD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26" name="Line 612">
          <a:extLst>
            <a:ext uri="{FF2B5EF4-FFF2-40B4-BE49-F238E27FC236}">
              <a16:creationId xmlns:a16="http://schemas.microsoft.com/office/drawing/2014/main" id="{00000000-0008-0000-1600-0000FE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27" name="Line 135">
          <a:extLst>
            <a:ext uri="{FF2B5EF4-FFF2-40B4-BE49-F238E27FC236}">
              <a16:creationId xmlns:a16="http://schemas.microsoft.com/office/drawing/2014/main" id="{00000000-0008-0000-1600-0000FF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28" name="Line 330">
          <a:extLst>
            <a:ext uri="{FF2B5EF4-FFF2-40B4-BE49-F238E27FC236}">
              <a16:creationId xmlns:a16="http://schemas.microsoft.com/office/drawing/2014/main" id="{00000000-0008-0000-1600-000000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29" name="Line 135">
          <a:extLst>
            <a:ext uri="{FF2B5EF4-FFF2-40B4-BE49-F238E27FC236}">
              <a16:creationId xmlns:a16="http://schemas.microsoft.com/office/drawing/2014/main" id="{00000000-0008-0000-1600-000001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30" name="Line 330">
          <a:extLst>
            <a:ext uri="{FF2B5EF4-FFF2-40B4-BE49-F238E27FC236}">
              <a16:creationId xmlns:a16="http://schemas.microsoft.com/office/drawing/2014/main" id="{00000000-0008-0000-1600-000002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31" name="Line 330">
          <a:extLst>
            <a:ext uri="{FF2B5EF4-FFF2-40B4-BE49-F238E27FC236}">
              <a16:creationId xmlns:a16="http://schemas.microsoft.com/office/drawing/2014/main" id="{00000000-0008-0000-1600-000003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32" name="Line 135">
          <a:extLst>
            <a:ext uri="{FF2B5EF4-FFF2-40B4-BE49-F238E27FC236}">
              <a16:creationId xmlns:a16="http://schemas.microsoft.com/office/drawing/2014/main" id="{00000000-0008-0000-1600-000004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33" name="Line 612">
          <a:extLst>
            <a:ext uri="{FF2B5EF4-FFF2-40B4-BE49-F238E27FC236}">
              <a16:creationId xmlns:a16="http://schemas.microsoft.com/office/drawing/2014/main" id="{00000000-0008-0000-1600-000005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34" name="Line 135">
          <a:extLst>
            <a:ext uri="{FF2B5EF4-FFF2-40B4-BE49-F238E27FC236}">
              <a16:creationId xmlns:a16="http://schemas.microsoft.com/office/drawing/2014/main" id="{00000000-0008-0000-1600-000006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35" name="Line 330">
          <a:extLst>
            <a:ext uri="{FF2B5EF4-FFF2-40B4-BE49-F238E27FC236}">
              <a16:creationId xmlns:a16="http://schemas.microsoft.com/office/drawing/2014/main" id="{00000000-0008-0000-1600-000007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36" name="Line 135">
          <a:extLst>
            <a:ext uri="{FF2B5EF4-FFF2-40B4-BE49-F238E27FC236}">
              <a16:creationId xmlns:a16="http://schemas.microsoft.com/office/drawing/2014/main" id="{00000000-0008-0000-1600-000008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37" name="Line 330">
          <a:extLst>
            <a:ext uri="{FF2B5EF4-FFF2-40B4-BE49-F238E27FC236}">
              <a16:creationId xmlns:a16="http://schemas.microsoft.com/office/drawing/2014/main" id="{00000000-0008-0000-1600-000009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38" name="Line 330">
          <a:extLst>
            <a:ext uri="{FF2B5EF4-FFF2-40B4-BE49-F238E27FC236}">
              <a16:creationId xmlns:a16="http://schemas.microsoft.com/office/drawing/2014/main" id="{00000000-0008-0000-1600-00000A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39" name="Line 135">
          <a:extLst>
            <a:ext uri="{FF2B5EF4-FFF2-40B4-BE49-F238E27FC236}">
              <a16:creationId xmlns:a16="http://schemas.microsoft.com/office/drawing/2014/main" id="{00000000-0008-0000-1600-00000B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40" name="Line 612">
          <a:extLst>
            <a:ext uri="{FF2B5EF4-FFF2-40B4-BE49-F238E27FC236}">
              <a16:creationId xmlns:a16="http://schemas.microsoft.com/office/drawing/2014/main" id="{00000000-0008-0000-1600-00000C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41" name="Line 135">
          <a:extLst>
            <a:ext uri="{FF2B5EF4-FFF2-40B4-BE49-F238E27FC236}">
              <a16:creationId xmlns:a16="http://schemas.microsoft.com/office/drawing/2014/main" id="{00000000-0008-0000-1600-00000D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42" name="Line 331">
          <a:extLst>
            <a:ext uri="{FF2B5EF4-FFF2-40B4-BE49-F238E27FC236}">
              <a16:creationId xmlns:a16="http://schemas.microsoft.com/office/drawing/2014/main" id="{00000000-0008-0000-1600-00000E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43" name="Line 135">
          <a:extLst>
            <a:ext uri="{FF2B5EF4-FFF2-40B4-BE49-F238E27FC236}">
              <a16:creationId xmlns:a16="http://schemas.microsoft.com/office/drawing/2014/main" id="{00000000-0008-0000-1600-00000F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44" name="Line 330">
          <a:extLst>
            <a:ext uri="{FF2B5EF4-FFF2-40B4-BE49-F238E27FC236}">
              <a16:creationId xmlns:a16="http://schemas.microsoft.com/office/drawing/2014/main" id="{00000000-0008-0000-1600-000010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45" name="Line 330">
          <a:extLst>
            <a:ext uri="{FF2B5EF4-FFF2-40B4-BE49-F238E27FC236}">
              <a16:creationId xmlns:a16="http://schemas.microsoft.com/office/drawing/2014/main" id="{00000000-0008-0000-1600-000011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46" name="Line 135">
          <a:extLst>
            <a:ext uri="{FF2B5EF4-FFF2-40B4-BE49-F238E27FC236}">
              <a16:creationId xmlns:a16="http://schemas.microsoft.com/office/drawing/2014/main" id="{00000000-0008-0000-1600-000012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47" name="Line 612">
          <a:extLst>
            <a:ext uri="{FF2B5EF4-FFF2-40B4-BE49-F238E27FC236}">
              <a16:creationId xmlns:a16="http://schemas.microsoft.com/office/drawing/2014/main" id="{00000000-0008-0000-1600-000013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48" name="Line 135">
          <a:extLst>
            <a:ext uri="{FF2B5EF4-FFF2-40B4-BE49-F238E27FC236}">
              <a16:creationId xmlns:a16="http://schemas.microsoft.com/office/drawing/2014/main" id="{00000000-0008-0000-1600-000014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49" name="Line 330">
          <a:extLst>
            <a:ext uri="{FF2B5EF4-FFF2-40B4-BE49-F238E27FC236}">
              <a16:creationId xmlns:a16="http://schemas.microsoft.com/office/drawing/2014/main" id="{00000000-0008-0000-1600-000015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50" name="Line 135">
          <a:extLst>
            <a:ext uri="{FF2B5EF4-FFF2-40B4-BE49-F238E27FC236}">
              <a16:creationId xmlns:a16="http://schemas.microsoft.com/office/drawing/2014/main" id="{00000000-0008-0000-1600-000016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51" name="Line 330">
          <a:extLst>
            <a:ext uri="{FF2B5EF4-FFF2-40B4-BE49-F238E27FC236}">
              <a16:creationId xmlns:a16="http://schemas.microsoft.com/office/drawing/2014/main" id="{00000000-0008-0000-1600-000017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52" name="Line 330">
          <a:extLst>
            <a:ext uri="{FF2B5EF4-FFF2-40B4-BE49-F238E27FC236}">
              <a16:creationId xmlns:a16="http://schemas.microsoft.com/office/drawing/2014/main" id="{00000000-0008-0000-1600-000018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53" name="Line 135">
          <a:extLst>
            <a:ext uri="{FF2B5EF4-FFF2-40B4-BE49-F238E27FC236}">
              <a16:creationId xmlns:a16="http://schemas.microsoft.com/office/drawing/2014/main" id="{00000000-0008-0000-1600-000019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54" name="Line 612">
          <a:extLst>
            <a:ext uri="{FF2B5EF4-FFF2-40B4-BE49-F238E27FC236}">
              <a16:creationId xmlns:a16="http://schemas.microsoft.com/office/drawing/2014/main" id="{00000000-0008-0000-1600-00001A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55" name="Line 135">
          <a:extLst>
            <a:ext uri="{FF2B5EF4-FFF2-40B4-BE49-F238E27FC236}">
              <a16:creationId xmlns:a16="http://schemas.microsoft.com/office/drawing/2014/main" id="{00000000-0008-0000-1600-00001B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56" name="Line 331">
          <a:extLst>
            <a:ext uri="{FF2B5EF4-FFF2-40B4-BE49-F238E27FC236}">
              <a16:creationId xmlns:a16="http://schemas.microsoft.com/office/drawing/2014/main" id="{00000000-0008-0000-1600-00001C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57" name="Line 135">
          <a:extLst>
            <a:ext uri="{FF2B5EF4-FFF2-40B4-BE49-F238E27FC236}">
              <a16:creationId xmlns:a16="http://schemas.microsoft.com/office/drawing/2014/main" id="{00000000-0008-0000-1600-00001D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58" name="Line 330">
          <a:extLst>
            <a:ext uri="{FF2B5EF4-FFF2-40B4-BE49-F238E27FC236}">
              <a16:creationId xmlns:a16="http://schemas.microsoft.com/office/drawing/2014/main" id="{00000000-0008-0000-1600-00001E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59" name="Line 330">
          <a:extLst>
            <a:ext uri="{FF2B5EF4-FFF2-40B4-BE49-F238E27FC236}">
              <a16:creationId xmlns:a16="http://schemas.microsoft.com/office/drawing/2014/main" id="{00000000-0008-0000-1600-00001F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60" name="Line 135">
          <a:extLst>
            <a:ext uri="{FF2B5EF4-FFF2-40B4-BE49-F238E27FC236}">
              <a16:creationId xmlns:a16="http://schemas.microsoft.com/office/drawing/2014/main" id="{00000000-0008-0000-1600-000020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61" name="Line 612">
          <a:extLst>
            <a:ext uri="{FF2B5EF4-FFF2-40B4-BE49-F238E27FC236}">
              <a16:creationId xmlns:a16="http://schemas.microsoft.com/office/drawing/2014/main" id="{00000000-0008-0000-1600-000021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62" name="Line 135">
          <a:extLst>
            <a:ext uri="{FF2B5EF4-FFF2-40B4-BE49-F238E27FC236}">
              <a16:creationId xmlns:a16="http://schemas.microsoft.com/office/drawing/2014/main" id="{00000000-0008-0000-1600-000022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63" name="Line 330">
          <a:extLst>
            <a:ext uri="{FF2B5EF4-FFF2-40B4-BE49-F238E27FC236}">
              <a16:creationId xmlns:a16="http://schemas.microsoft.com/office/drawing/2014/main" id="{00000000-0008-0000-1600-000023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64" name="Line 135">
          <a:extLst>
            <a:ext uri="{FF2B5EF4-FFF2-40B4-BE49-F238E27FC236}">
              <a16:creationId xmlns:a16="http://schemas.microsoft.com/office/drawing/2014/main" id="{00000000-0008-0000-1600-000024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65" name="Line 330">
          <a:extLst>
            <a:ext uri="{FF2B5EF4-FFF2-40B4-BE49-F238E27FC236}">
              <a16:creationId xmlns:a16="http://schemas.microsoft.com/office/drawing/2014/main" id="{00000000-0008-0000-1600-000025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66" name="Line 330">
          <a:extLst>
            <a:ext uri="{FF2B5EF4-FFF2-40B4-BE49-F238E27FC236}">
              <a16:creationId xmlns:a16="http://schemas.microsoft.com/office/drawing/2014/main" id="{00000000-0008-0000-1600-000026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67" name="Line 135">
          <a:extLst>
            <a:ext uri="{FF2B5EF4-FFF2-40B4-BE49-F238E27FC236}">
              <a16:creationId xmlns:a16="http://schemas.microsoft.com/office/drawing/2014/main" id="{00000000-0008-0000-1600-000027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68" name="Line 612">
          <a:extLst>
            <a:ext uri="{FF2B5EF4-FFF2-40B4-BE49-F238E27FC236}">
              <a16:creationId xmlns:a16="http://schemas.microsoft.com/office/drawing/2014/main" id="{00000000-0008-0000-1600-000028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69" name="Line 135">
          <a:extLst>
            <a:ext uri="{FF2B5EF4-FFF2-40B4-BE49-F238E27FC236}">
              <a16:creationId xmlns:a16="http://schemas.microsoft.com/office/drawing/2014/main" id="{00000000-0008-0000-1600-000029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70" name="Line 330">
          <a:extLst>
            <a:ext uri="{FF2B5EF4-FFF2-40B4-BE49-F238E27FC236}">
              <a16:creationId xmlns:a16="http://schemas.microsoft.com/office/drawing/2014/main" id="{00000000-0008-0000-1600-00002A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71" name="Line 330">
          <a:extLst>
            <a:ext uri="{FF2B5EF4-FFF2-40B4-BE49-F238E27FC236}">
              <a16:creationId xmlns:a16="http://schemas.microsoft.com/office/drawing/2014/main" id="{00000000-0008-0000-1600-00002B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72" name="Line 135">
          <a:extLst>
            <a:ext uri="{FF2B5EF4-FFF2-40B4-BE49-F238E27FC236}">
              <a16:creationId xmlns:a16="http://schemas.microsoft.com/office/drawing/2014/main" id="{00000000-0008-0000-1600-00002C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73" name="Line 612">
          <a:extLst>
            <a:ext uri="{FF2B5EF4-FFF2-40B4-BE49-F238E27FC236}">
              <a16:creationId xmlns:a16="http://schemas.microsoft.com/office/drawing/2014/main" id="{00000000-0008-0000-1600-00002D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74" name="Line 330">
          <a:extLst>
            <a:ext uri="{FF2B5EF4-FFF2-40B4-BE49-F238E27FC236}">
              <a16:creationId xmlns:a16="http://schemas.microsoft.com/office/drawing/2014/main" id="{00000000-0008-0000-1600-00002E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75" name="Line 135">
          <a:extLst>
            <a:ext uri="{FF2B5EF4-FFF2-40B4-BE49-F238E27FC236}">
              <a16:creationId xmlns:a16="http://schemas.microsoft.com/office/drawing/2014/main" id="{00000000-0008-0000-1600-00002F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76" name="Line 612">
          <a:extLst>
            <a:ext uri="{FF2B5EF4-FFF2-40B4-BE49-F238E27FC236}">
              <a16:creationId xmlns:a16="http://schemas.microsoft.com/office/drawing/2014/main" id="{00000000-0008-0000-1600-000030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12700</xdr:colOff>
      <xdr:row>24</xdr:row>
      <xdr:rowOff>0</xdr:rowOff>
    </xdr:from>
    <xdr:to>
      <xdr:col>2</xdr:col>
      <xdr:colOff>12700</xdr:colOff>
      <xdr:row>24</xdr:row>
      <xdr:rowOff>0</xdr:rowOff>
    </xdr:to>
    <xdr:sp macro="" textlink="">
      <xdr:nvSpPr>
        <xdr:cNvPr id="2562770" name="Line 135">
          <a:extLst>
            <a:ext uri="{FF2B5EF4-FFF2-40B4-BE49-F238E27FC236}">
              <a16:creationId xmlns:a16="http://schemas.microsoft.com/office/drawing/2014/main" id="{00000000-0008-0000-1700-0000D21A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771" name="Line 330">
          <a:extLst>
            <a:ext uri="{FF2B5EF4-FFF2-40B4-BE49-F238E27FC236}">
              <a16:creationId xmlns:a16="http://schemas.microsoft.com/office/drawing/2014/main" id="{00000000-0008-0000-1700-0000D31A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772" name="Line 135">
          <a:extLst>
            <a:ext uri="{FF2B5EF4-FFF2-40B4-BE49-F238E27FC236}">
              <a16:creationId xmlns:a16="http://schemas.microsoft.com/office/drawing/2014/main" id="{00000000-0008-0000-1700-0000D41A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773" name="Line 330">
          <a:extLst>
            <a:ext uri="{FF2B5EF4-FFF2-40B4-BE49-F238E27FC236}">
              <a16:creationId xmlns:a16="http://schemas.microsoft.com/office/drawing/2014/main" id="{00000000-0008-0000-1700-0000D51A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774" name="Line 330">
          <a:extLst>
            <a:ext uri="{FF2B5EF4-FFF2-40B4-BE49-F238E27FC236}">
              <a16:creationId xmlns:a16="http://schemas.microsoft.com/office/drawing/2014/main" id="{00000000-0008-0000-1700-0000D61A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62775" name="Line 4">
          <a:extLst>
            <a:ext uri="{FF2B5EF4-FFF2-40B4-BE49-F238E27FC236}">
              <a16:creationId xmlns:a16="http://schemas.microsoft.com/office/drawing/2014/main" id="{00000000-0008-0000-1700-0000D71A2700}"/>
            </a:ext>
          </a:extLst>
        </xdr:cNvPr>
        <xdr:cNvSpPr>
          <a:spLocks noChangeShapeType="1"/>
        </xdr:cNvSpPr>
      </xdr:nvSpPr>
      <xdr:spPr bwMode="auto">
        <a:xfrm>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62776" name="Line 5">
          <a:extLst>
            <a:ext uri="{FF2B5EF4-FFF2-40B4-BE49-F238E27FC236}">
              <a16:creationId xmlns:a16="http://schemas.microsoft.com/office/drawing/2014/main" id="{00000000-0008-0000-1700-0000D81A2700}"/>
            </a:ext>
          </a:extLst>
        </xdr:cNvPr>
        <xdr:cNvSpPr>
          <a:spLocks noChangeShapeType="1"/>
        </xdr:cNvSpPr>
      </xdr:nvSpPr>
      <xdr:spPr bwMode="auto">
        <a:xfrm flipV="1">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62777" name="Line 8">
          <a:extLst>
            <a:ext uri="{FF2B5EF4-FFF2-40B4-BE49-F238E27FC236}">
              <a16:creationId xmlns:a16="http://schemas.microsoft.com/office/drawing/2014/main" id="{00000000-0008-0000-1700-0000D91A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62778" name="Line 9">
          <a:extLst>
            <a:ext uri="{FF2B5EF4-FFF2-40B4-BE49-F238E27FC236}">
              <a16:creationId xmlns:a16="http://schemas.microsoft.com/office/drawing/2014/main" id="{00000000-0008-0000-1700-0000DA1A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62779" name="Line 10">
          <a:extLst>
            <a:ext uri="{FF2B5EF4-FFF2-40B4-BE49-F238E27FC236}">
              <a16:creationId xmlns:a16="http://schemas.microsoft.com/office/drawing/2014/main" id="{00000000-0008-0000-1700-0000DB1A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62780" name="Line 11">
          <a:extLst>
            <a:ext uri="{FF2B5EF4-FFF2-40B4-BE49-F238E27FC236}">
              <a16:creationId xmlns:a16="http://schemas.microsoft.com/office/drawing/2014/main" id="{00000000-0008-0000-1700-0000DC1A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62781" name="Line 20">
          <a:extLst>
            <a:ext uri="{FF2B5EF4-FFF2-40B4-BE49-F238E27FC236}">
              <a16:creationId xmlns:a16="http://schemas.microsoft.com/office/drawing/2014/main" id="{00000000-0008-0000-1700-0000DD1A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62782" name="Line 21">
          <a:extLst>
            <a:ext uri="{FF2B5EF4-FFF2-40B4-BE49-F238E27FC236}">
              <a16:creationId xmlns:a16="http://schemas.microsoft.com/office/drawing/2014/main" id="{00000000-0008-0000-1700-0000DE1A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62783" name="Line 22">
          <a:extLst>
            <a:ext uri="{FF2B5EF4-FFF2-40B4-BE49-F238E27FC236}">
              <a16:creationId xmlns:a16="http://schemas.microsoft.com/office/drawing/2014/main" id="{00000000-0008-0000-1700-0000DF1A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62784" name="Line 23">
          <a:extLst>
            <a:ext uri="{FF2B5EF4-FFF2-40B4-BE49-F238E27FC236}">
              <a16:creationId xmlns:a16="http://schemas.microsoft.com/office/drawing/2014/main" id="{00000000-0008-0000-1700-0000E01A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62785" name="Line 26">
          <a:extLst>
            <a:ext uri="{FF2B5EF4-FFF2-40B4-BE49-F238E27FC236}">
              <a16:creationId xmlns:a16="http://schemas.microsoft.com/office/drawing/2014/main" id="{00000000-0008-0000-1700-0000E11A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62786" name="Line 27">
          <a:extLst>
            <a:ext uri="{FF2B5EF4-FFF2-40B4-BE49-F238E27FC236}">
              <a16:creationId xmlns:a16="http://schemas.microsoft.com/office/drawing/2014/main" id="{00000000-0008-0000-1700-0000E21A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62787" name="Line 28">
          <a:extLst>
            <a:ext uri="{FF2B5EF4-FFF2-40B4-BE49-F238E27FC236}">
              <a16:creationId xmlns:a16="http://schemas.microsoft.com/office/drawing/2014/main" id="{00000000-0008-0000-1700-0000E31A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62788" name="Line 29">
          <a:extLst>
            <a:ext uri="{FF2B5EF4-FFF2-40B4-BE49-F238E27FC236}">
              <a16:creationId xmlns:a16="http://schemas.microsoft.com/office/drawing/2014/main" id="{00000000-0008-0000-1700-0000E41A2700}"/>
            </a:ext>
          </a:extLst>
        </xdr:cNvPr>
        <xdr:cNvSpPr>
          <a:spLocks noChangeShapeType="1"/>
        </xdr:cNvSpPr>
      </xdr:nvSpPr>
      <xdr:spPr bwMode="auto">
        <a:xfrm>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62789" name="Line 30">
          <a:extLst>
            <a:ext uri="{FF2B5EF4-FFF2-40B4-BE49-F238E27FC236}">
              <a16:creationId xmlns:a16="http://schemas.microsoft.com/office/drawing/2014/main" id="{00000000-0008-0000-1700-0000E51A2700}"/>
            </a:ext>
          </a:extLst>
        </xdr:cNvPr>
        <xdr:cNvSpPr>
          <a:spLocks noChangeShapeType="1"/>
        </xdr:cNvSpPr>
      </xdr:nvSpPr>
      <xdr:spPr bwMode="auto">
        <a:xfrm flipV="1">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62790" name="Line 31">
          <a:extLst>
            <a:ext uri="{FF2B5EF4-FFF2-40B4-BE49-F238E27FC236}">
              <a16:creationId xmlns:a16="http://schemas.microsoft.com/office/drawing/2014/main" id="{00000000-0008-0000-1700-0000E61A2700}"/>
            </a:ext>
          </a:extLst>
        </xdr:cNvPr>
        <xdr:cNvSpPr>
          <a:spLocks noChangeShapeType="1"/>
        </xdr:cNvSpPr>
      </xdr:nvSpPr>
      <xdr:spPr bwMode="auto">
        <a:xfrm>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62791" name="Line 32">
          <a:extLst>
            <a:ext uri="{FF2B5EF4-FFF2-40B4-BE49-F238E27FC236}">
              <a16:creationId xmlns:a16="http://schemas.microsoft.com/office/drawing/2014/main" id="{00000000-0008-0000-1700-0000E71A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62792" name="Line 33">
          <a:extLst>
            <a:ext uri="{FF2B5EF4-FFF2-40B4-BE49-F238E27FC236}">
              <a16:creationId xmlns:a16="http://schemas.microsoft.com/office/drawing/2014/main" id="{00000000-0008-0000-1700-0000E81A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62793" name="Line 34">
          <a:extLst>
            <a:ext uri="{FF2B5EF4-FFF2-40B4-BE49-F238E27FC236}">
              <a16:creationId xmlns:a16="http://schemas.microsoft.com/office/drawing/2014/main" id="{00000000-0008-0000-1700-0000E91A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62794" name="Line 35">
          <a:extLst>
            <a:ext uri="{FF2B5EF4-FFF2-40B4-BE49-F238E27FC236}">
              <a16:creationId xmlns:a16="http://schemas.microsoft.com/office/drawing/2014/main" id="{00000000-0008-0000-1700-0000EA1A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27</xdr:row>
      <xdr:rowOff>0</xdr:rowOff>
    </xdr:to>
    <xdr:sp macro="" textlink="">
      <xdr:nvSpPr>
        <xdr:cNvPr id="2562795" name="Line 36">
          <a:extLst>
            <a:ext uri="{FF2B5EF4-FFF2-40B4-BE49-F238E27FC236}">
              <a16:creationId xmlns:a16="http://schemas.microsoft.com/office/drawing/2014/main" id="{00000000-0008-0000-1700-0000EB1A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62796" name="Line 38">
          <a:extLst>
            <a:ext uri="{FF2B5EF4-FFF2-40B4-BE49-F238E27FC236}">
              <a16:creationId xmlns:a16="http://schemas.microsoft.com/office/drawing/2014/main" id="{00000000-0008-0000-1700-0000EC1A2700}"/>
            </a:ext>
          </a:extLst>
        </xdr:cNvPr>
        <xdr:cNvSpPr>
          <a:spLocks noChangeShapeType="1"/>
        </xdr:cNvSpPr>
      </xdr:nvSpPr>
      <xdr:spPr bwMode="auto">
        <a:xfrm flipV="1">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62797" name="Line 39">
          <a:extLst>
            <a:ext uri="{FF2B5EF4-FFF2-40B4-BE49-F238E27FC236}">
              <a16:creationId xmlns:a16="http://schemas.microsoft.com/office/drawing/2014/main" id="{00000000-0008-0000-1700-0000ED1A2700}"/>
            </a:ext>
          </a:extLst>
        </xdr:cNvPr>
        <xdr:cNvSpPr>
          <a:spLocks noChangeShapeType="1"/>
        </xdr:cNvSpPr>
      </xdr:nvSpPr>
      <xdr:spPr bwMode="auto">
        <a:xfrm>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62798" name="Line 40">
          <a:extLst>
            <a:ext uri="{FF2B5EF4-FFF2-40B4-BE49-F238E27FC236}">
              <a16:creationId xmlns:a16="http://schemas.microsoft.com/office/drawing/2014/main" id="{00000000-0008-0000-1700-0000EE1A2700}"/>
            </a:ext>
          </a:extLst>
        </xdr:cNvPr>
        <xdr:cNvSpPr>
          <a:spLocks noChangeShapeType="1"/>
        </xdr:cNvSpPr>
      </xdr:nvSpPr>
      <xdr:spPr bwMode="auto">
        <a:xfrm flipV="1">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62799" name="Line 41">
          <a:extLst>
            <a:ext uri="{FF2B5EF4-FFF2-40B4-BE49-F238E27FC236}">
              <a16:creationId xmlns:a16="http://schemas.microsoft.com/office/drawing/2014/main" id="{00000000-0008-0000-1700-0000EF1A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62800" name="Line 42">
          <a:extLst>
            <a:ext uri="{FF2B5EF4-FFF2-40B4-BE49-F238E27FC236}">
              <a16:creationId xmlns:a16="http://schemas.microsoft.com/office/drawing/2014/main" id="{00000000-0008-0000-1700-0000F01A2700}"/>
            </a:ext>
          </a:extLst>
        </xdr:cNvPr>
        <xdr:cNvSpPr>
          <a:spLocks noChangeShapeType="1"/>
        </xdr:cNvSpPr>
      </xdr:nvSpPr>
      <xdr:spPr bwMode="auto">
        <a:xfrm flipV="1">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62801" name="Line 43">
          <a:extLst>
            <a:ext uri="{FF2B5EF4-FFF2-40B4-BE49-F238E27FC236}">
              <a16:creationId xmlns:a16="http://schemas.microsoft.com/office/drawing/2014/main" id="{00000000-0008-0000-1700-0000F11A2700}"/>
            </a:ext>
          </a:extLst>
        </xdr:cNvPr>
        <xdr:cNvSpPr>
          <a:spLocks noChangeShapeType="1"/>
        </xdr:cNvSpPr>
      </xdr:nvSpPr>
      <xdr:spPr bwMode="auto">
        <a:xfrm>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62802" name="Line 44">
          <a:extLst>
            <a:ext uri="{FF2B5EF4-FFF2-40B4-BE49-F238E27FC236}">
              <a16:creationId xmlns:a16="http://schemas.microsoft.com/office/drawing/2014/main" id="{00000000-0008-0000-1700-0000F21A2700}"/>
            </a:ext>
          </a:extLst>
        </xdr:cNvPr>
        <xdr:cNvSpPr>
          <a:spLocks noChangeShapeType="1"/>
        </xdr:cNvSpPr>
      </xdr:nvSpPr>
      <xdr:spPr bwMode="auto">
        <a:xfrm flipV="1">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62803" name="Line 45">
          <a:extLst>
            <a:ext uri="{FF2B5EF4-FFF2-40B4-BE49-F238E27FC236}">
              <a16:creationId xmlns:a16="http://schemas.microsoft.com/office/drawing/2014/main" id="{00000000-0008-0000-1700-0000F31A2700}"/>
            </a:ext>
          </a:extLst>
        </xdr:cNvPr>
        <xdr:cNvSpPr>
          <a:spLocks noChangeShapeType="1"/>
        </xdr:cNvSpPr>
      </xdr:nvSpPr>
      <xdr:spPr bwMode="auto">
        <a:xfrm>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62804" name="Line 46">
          <a:extLst>
            <a:ext uri="{FF2B5EF4-FFF2-40B4-BE49-F238E27FC236}">
              <a16:creationId xmlns:a16="http://schemas.microsoft.com/office/drawing/2014/main" id="{00000000-0008-0000-1700-0000F41A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62805" name="Line 47">
          <a:extLst>
            <a:ext uri="{FF2B5EF4-FFF2-40B4-BE49-F238E27FC236}">
              <a16:creationId xmlns:a16="http://schemas.microsoft.com/office/drawing/2014/main" id="{00000000-0008-0000-1700-0000F51A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62806" name="Line 49">
          <a:extLst>
            <a:ext uri="{FF2B5EF4-FFF2-40B4-BE49-F238E27FC236}">
              <a16:creationId xmlns:a16="http://schemas.microsoft.com/office/drawing/2014/main" id="{00000000-0008-0000-1700-0000F61A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62807" name="Line 50">
          <a:extLst>
            <a:ext uri="{FF2B5EF4-FFF2-40B4-BE49-F238E27FC236}">
              <a16:creationId xmlns:a16="http://schemas.microsoft.com/office/drawing/2014/main" id="{00000000-0008-0000-1700-0000F71A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62808" name="Line 51">
          <a:extLst>
            <a:ext uri="{FF2B5EF4-FFF2-40B4-BE49-F238E27FC236}">
              <a16:creationId xmlns:a16="http://schemas.microsoft.com/office/drawing/2014/main" id="{00000000-0008-0000-1700-0000F81A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62809" name="Line 52">
          <a:extLst>
            <a:ext uri="{FF2B5EF4-FFF2-40B4-BE49-F238E27FC236}">
              <a16:creationId xmlns:a16="http://schemas.microsoft.com/office/drawing/2014/main" id="{00000000-0008-0000-1700-0000F91A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62810" name="Line 53">
          <a:extLst>
            <a:ext uri="{FF2B5EF4-FFF2-40B4-BE49-F238E27FC236}">
              <a16:creationId xmlns:a16="http://schemas.microsoft.com/office/drawing/2014/main" id="{00000000-0008-0000-1700-0000FA1A2700}"/>
            </a:ext>
          </a:extLst>
        </xdr:cNvPr>
        <xdr:cNvSpPr>
          <a:spLocks noChangeShapeType="1"/>
        </xdr:cNvSpPr>
      </xdr:nvSpPr>
      <xdr:spPr bwMode="auto">
        <a:xfrm flipV="1">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62811" name="Line 54">
          <a:extLst>
            <a:ext uri="{FF2B5EF4-FFF2-40B4-BE49-F238E27FC236}">
              <a16:creationId xmlns:a16="http://schemas.microsoft.com/office/drawing/2014/main" id="{00000000-0008-0000-1700-0000FB1A2700}"/>
            </a:ext>
          </a:extLst>
        </xdr:cNvPr>
        <xdr:cNvSpPr>
          <a:spLocks noChangeShapeType="1"/>
        </xdr:cNvSpPr>
      </xdr:nvSpPr>
      <xdr:spPr bwMode="auto">
        <a:xfrm>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62812" name="Line 58">
          <a:extLst>
            <a:ext uri="{FF2B5EF4-FFF2-40B4-BE49-F238E27FC236}">
              <a16:creationId xmlns:a16="http://schemas.microsoft.com/office/drawing/2014/main" id="{00000000-0008-0000-1700-0000FC1A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62813" name="Line 59">
          <a:extLst>
            <a:ext uri="{FF2B5EF4-FFF2-40B4-BE49-F238E27FC236}">
              <a16:creationId xmlns:a16="http://schemas.microsoft.com/office/drawing/2014/main" id="{00000000-0008-0000-1700-0000FD1A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62814" name="Line 129">
          <a:extLst>
            <a:ext uri="{FF2B5EF4-FFF2-40B4-BE49-F238E27FC236}">
              <a16:creationId xmlns:a16="http://schemas.microsoft.com/office/drawing/2014/main" id="{00000000-0008-0000-1700-0000FE1A2700}"/>
            </a:ext>
          </a:extLst>
        </xdr:cNvPr>
        <xdr:cNvSpPr>
          <a:spLocks noChangeShapeType="1"/>
        </xdr:cNvSpPr>
      </xdr:nvSpPr>
      <xdr:spPr bwMode="auto">
        <a:xfrm flipV="1">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62815" name="Line 130">
          <a:extLst>
            <a:ext uri="{FF2B5EF4-FFF2-40B4-BE49-F238E27FC236}">
              <a16:creationId xmlns:a16="http://schemas.microsoft.com/office/drawing/2014/main" id="{00000000-0008-0000-1700-0000FF1A2700}"/>
            </a:ext>
          </a:extLst>
        </xdr:cNvPr>
        <xdr:cNvSpPr>
          <a:spLocks noChangeShapeType="1"/>
        </xdr:cNvSpPr>
      </xdr:nvSpPr>
      <xdr:spPr bwMode="auto">
        <a:xfrm>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62816" name="Line 131">
          <a:extLst>
            <a:ext uri="{FF2B5EF4-FFF2-40B4-BE49-F238E27FC236}">
              <a16:creationId xmlns:a16="http://schemas.microsoft.com/office/drawing/2014/main" id="{00000000-0008-0000-1700-0000001B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62817" name="Line 132">
          <a:extLst>
            <a:ext uri="{FF2B5EF4-FFF2-40B4-BE49-F238E27FC236}">
              <a16:creationId xmlns:a16="http://schemas.microsoft.com/office/drawing/2014/main" id="{00000000-0008-0000-1700-0000011B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62818" name="Line 133">
          <a:extLst>
            <a:ext uri="{FF2B5EF4-FFF2-40B4-BE49-F238E27FC236}">
              <a16:creationId xmlns:a16="http://schemas.microsoft.com/office/drawing/2014/main" id="{00000000-0008-0000-1700-0000021B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62819" name="Line 134">
          <a:extLst>
            <a:ext uri="{FF2B5EF4-FFF2-40B4-BE49-F238E27FC236}">
              <a16:creationId xmlns:a16="http://schemas.microsoft.com/office/drawing/2014/main" id="{00000000-0008-0000-1700-0000031B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20" name="Line 135">
          <a:extLst>
            <a:ext uri="{FF2B5EF4-FFF2-40B4-BE49-F238E27FC236}">
              <a16:creationId xmlns:a16="http://schemas.microsoft.com/office/drawing/2014/main" id="{00000000-0008-0000-1700-000004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24</xdr:row>
      <xdr:rowOff>0</xdr:rowOff>
    </xdr:to>
    <xdr:sp macro="" textlink="">
      <xdr:nvSpPr>
        <xdr:cNvPr id="2562821" name="Line 136">
          <a:extLst>
            <a:ext uri="{FF2B5EF4-FFF2-40B4-BE49-F238E27FC236}">
              <a16:creationId xmlns:a16="http://schemas.microsoft.com/office/drawing/2014/main" id="{00000000-0008-0000-1700-0000051B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62822" name="Line 141">
          <a:extLst>
            <a:ext uri="{FF2B5EF4-FFF2-40B4-BE49-F238E27FC236}">
              <a16:creationId xmlns:a16="http://schemas.microsoft.com/office/drawing/2014/main" id="{00000000-0008-0000-1700-0000061B2700}"/>
            </a:ext>
          </a:extLst>
        </xdr:cNvPr>
        <xdr:cNvSpPr>
          <a:spLocks noChangeShapeType="1"/>
        </xdr:cNvSpPr>
      </xdr:nvSpPr>
      <xdr:spPr bwMode="auto">
        <a:xfrm flipV="1">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62823" name="Line 142">
          <a:extLst>
            <a:ext uri="{FF2B5EF4-FFF2-40B4-BE49-F238E27FC236}">
              <a16:creationId xmlns:a16="http://schemas.microsoft.com/office/drawing/2014/main" id="{00000000-0008-0000-1700-0000071B2700}"/>
            </a:ext>
          </a:extLst>
        </xdr:cNvPr>
        <xdr:cNvSpPr>
          <a:spLocks noChangeShapeType="1"/>
        </xdr:cNvSpPr>
      </xdr:nvSpPr>
      <xdr:spPr bwMode="auto">
        <a:xfrm>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24" name="Line 612">
          <a:extLst>
            <a:ext uri="{FF2B5EF4-FFF2-40B4-BE49-F238E27FC236}">
              <a16:creationId xmlns:a16="http://schemas.microsoft.com/office/drawing/2014/main" id="{00000000-0008-0000-1700-000008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0</xdr:col>
      <xdr:colOff>0</xdr:colOff>
      <xdr:row>6</xdr:row>
      <xdr:rowOff>0</xdr:rowOff>
    </xdr:from>
    <xdr:to>
      <xdr:col>3</xdr:col>
      <xdr:colOff>0</xdr:colOff>
      <xdr:row>7</xdr:row>
      <xdr:rowOff>0</xdr:rowOff>
    </xdr:to>
    <xdr:sp macro="" textlink="">
      <xdr:nvSpPr>
        <xdr:cNvPr id="439847" name="Text Box 5671">
          <a:hlinkClick xmlns:r="http://schemas.openxmlformats.org/officeDocument/2006/relationships" r:id="rId1"/>
          <a:extLst>
            <a:ext uri="{FF2B5EF4-FFF2-40B4-BE49-F238E27FC236}">
              <a16:creationId xmlns:a16="http://schemas.microsoft.com/office/drawing/2014/main" id="{00000000-0008-0000-1700-000027B60600}"/>
            </a:ext>
          </a:extLst>
        </xdr:cNvPr>
        <xdr:cNvSpPr txBox="1">
          <a:spLocks noChangeArrowheads="1"/>
        </xdr:cNvSpPr>
      </xdr:nvSpPr>
      <xdr:spPr bwMode="auto">
        <a:xfrm>
          <a:off x="0" y="774700"/>
          <a:ext cx="1714500" cy="2794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zur Startseite</a:t>
          </a:r>
        </a:p>
      </xdr:txBody>
    </xdr:sp>
    <xdr:clientData fPrintsWithSheet="0"/>
  </xdr:twoCellAnchor>
  <xdr:twoCellAnchor>
    <xdr:from>
      <xdr:col>0</xdr:col>
      <xdr:colOff>0</xdr:colOff>
      <xdr:row>8</xdr:row>
      <xdr:rowOff>0</xdr:rowOff>
    </xdr:from>
    <xdr:to>
      <xdr:col>3</xdr:col>
      <xdr:colOff>0</xdr:colOff>
      <xdr:row>9</xdr:row>
      <xdr:rowOff>0</xdr:rowOff>
    </xdr:to>
    <xdr:sp macro="" textlink="">
      <xdr:nvSpPr>
        <xdr:cNvPr id="439848" name="Text Box 5672">
          <a:hlinkClick xmlns:r="http://schemas.openxmlformats.org/officeDocument/2006/relationships" r:id="rId2"/>
          <a:extLst>
            <a:ext uri="{FF2B5EF4-FFF2-40B4-BE49-F238E27FC236}">
              <a16:creationId xmlns:a16="http://schemas.microsoft.com/office/drawing/2014/main" id="{00000000-0008-0000-1700-000028B60600}"/>
            </a:ext>
          </a:extLst>
        </xdr:cNvPr>
        <xdr:cNvSpPr txBox="1">
          <a:spLocks noChangeArrowheads="1"/>
        </xdr:cNvSpPr>
      </xdr:nvSpPr>
      <xdr:spPr bwMode="auto">
        <a:xfrm>
          <a:off x="0" y="13335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 zum Januar &gt;</a:t>
          </a:r>
        </a:p>
      </xdr:txBody>
    </xdr:sp>
    <xdr:clientData fPrintsWithSheet="0"/>
  </xdr:twoCellAnchor>
  <xdr:twoCellAnchor>
    <xdr:from>
      <xdr:col>0</xdr:col>
      <xdr:colOff>0</xdr:colOff>
      <xdr:row>10</xdr:row>
      <xdr:rowOff>0</xdr:rowOff>
    </xdr:from>
    <xdr:to>
      <xdr:col>3</xdr:col>
      <xdr:colOff>0</xdr:colOff>
      <xdr:row>11</xdr:row>
      <xdr:rowOff>0</xdr:rowOff>
    </xdr:to>
    <xdr:sp macro="" textlink="">
      <xdr:nvSpPr>
        <xdr:cNvPr id="439849" name="Text Box 5673">
          <a:hlinkClick xmlns:r="http://schemas.openxmlformats.org/officeDocument/2006/relationships" r:id="rId3"/>
          <a:extLst>
            <a:ext uri="{FF2B5EF4-FFF2-40B4-BE49-F238E27FC236}">
              <a16:creationId xmlns:a16="http://schemas.microsoft.com/office/drawing/2014/main" id="{00000000-0008-0000-1700-000029B60600}"/>
            </a:ext>
          </a:extLst>
        </xdr:cNvPr>
        <xdr:cNvSpPr txBox="1">
          <a:spLocks noChangeArrowheads="1"/>
        </xdr:cNvSpPr>
      </xdr:nvSpPr>
      <xdr:spPr bwMode="auto">
        <a:xfrm>
          <a:off x="0" y="18923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&lt; zurück</a:t>
          </a:r>
        </a:p>
      </xdr:txBody>
    </xdr:sp>
    <xdr:clientData fPrintsWithSheet="0"/>
  </xdr:twoCellAnchor>
  <xdr:twoCellAnchor>
    <xdr:from>
      <xdr:col>1</xdr:col>
      <xdr:colOff>12700</xdr:colOff>
      <xdr:row>24</xdr:row>
      <xdr:rowOff>0</xdr:rowOff>
    </xdr:from>
    <xdr:to>
      <xdr:col>2</xdr:col>
      <xdr:colOff>12700</xdr:colOff>
      <xdr:row>24</xdr:row>
      <xdr:rowOff>0</xdr:rowOff>
    </xdr:to>
    <xdr:sp macro="" textlink="">
      <xdr:nvSpPr>
        <xdr:cNvPr id="2562828" name="Line 135">
          <a:extLst>
            <a:ext uri="{FF2B5EF4-FFF2-40B4-BE49-F238E27FC236}">
              <a16:creationId xmlns:a16="http://schemas.microsoft.com/office/drawing/2014/main" id="{00000000-0008-0000-1700-00000C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29" name="Line 330">
          <a:extLst>
            <a:ext uri="{FF2B5EF4-FFF2-40B4-BE49-F238E27FC236}">
              <a16:creationId xmlns:a16="http://schemas.microsoft.com/office/drawing/2014/main" id="{00000000-0008-0000-1700-00000D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30" name="Line 135">
          <a:extLst>
            <a:ext uri="{FF2B5EF4-FFF2-40B4-BE49-F238E27FC236}">
              <a16:creationId xmlns:a16="http://schemas.microsoft.com/office/drawing/2014/main" id="{00000000-0008-0000-1700-00000E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31" name="Line 330">
          <a:extLst>
            <a:ext uri="{FF2B5EF4-FFF2-40B4-BE49-F238E27FC236}">
              <a16:creationId xmlns:a16="http://schemas.microsoft.com/office/drawing/2014/main" id="{00000000-0008-0000-1700-00000F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32" name="Line 330">
          <a:extLst>
            <a:ext uri="{FF2B5EF4-FFF2-40B4-BE49-F238E27FC236}">
              <a16:creationId xmlns:a16="http://schemas.microsoft.com/office/drawing/2014/main" id="{00000000-0008-0000-1700-000010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33" name="Line 135">
          <a:extLst>
            <a:ext uri="{FF2B5EF4-FFF2-40B4-BE49-F238E27FC236}">
              <a16:creationId xmlns:a16="http://schemas.microsoft.com/office/drawing/2014/main" id="{00000000-0008-0000-1700-000011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34" name="Line 612">
          <a:extLst>
            <a:ext uri="{FF2B5EF4-FFF2-40B4-BE49-F238E27FC236}">
              <a16:creationId xmlns:a16="http://schemas.microsoft.com/office/drawing/2014/main" id="{00000000-0008-0000-1700-000012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35" name="Line 135">
          <a:extLst>
            <a:ext uri="{FF2B5EF4-FFF2-40B4-BE49-F238E27FC236}">
              <a16:creationId xmlns:a16="http://schemas.microsoft.com/office/drawing/2014/main" id="{00000000-0008-0000-1700-000013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36" name="Line 330">
          <a:extLst>
            <a:ext uri="{FF2B5EF4-FFF2-40B4-BE49-F238E27FC236}">
              <a16:creationId xmlns:a16="http://schemas.microsoft.com/office/drawing/2014/main" id="{00000000-0008-0000-1700-000014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37" name="Line 135">
          <a:extLst>
            <a:ext uri="{FF2B5EF4-FFF2-40B4-BE49-F238E27FC236}">
              <a16:creationId xmlns:a16="http://schemas.microsoft.com/office/drawing/2014/main" id="{00000000-0008-0000-1700-000015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38" name="Line 330">
          <a:extLst>
            <a:ext uri="{FF2B5EF4-FFF2-40B4-BE49-F238E27FC236}">
              <a16:creationId xmlns:a16="http://schemas.microsoft.com/office/drawing/2014/main" id="{00000000-0008-0000-1700-000016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39" name="Line 330">
          <a:extLst>
            <a:ext uri="{FF2B5EF4-FFF2-40B4-BE49-F238E27FC236}">
              <a16:creationId xmlns:a16="http://schemas.microsoft.com/office/drawing/2014/main" id="{00000000-0008-0000-1700-000017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40" name="Line 135">
          <a:extLst>
            <a:ext uri="{FF2B5EF4-FFF2-40B4-BE49-F238E27FC236}">
              <a16:creationId xmlns:a16="http://schemas.microsoft.com/office/drawing/2014/main" id="{00000000-0008-0000-1700-000018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41" name="Line 612">
          <a:extLst>
            <a:ext uri="{FF2B5EF4-FFF2-40B4-BE49-F238E27FC236}">
              <a16:creationId xmlns:a16="http://schemas.microsoft.com/office/drawing/2014/main" id="{00000000-0008-0000-1700-000019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42" name="Line 135">
          <a:extLst>
            <a:ext uri="{FF2B5EF4-FFF2-40B4-BE49-F238E27FC236}">
              <a16:creationId xmlns:a16="http://schemas.microsoft.com/office/drawing/2014/main" id="{00000000-0008-0000-1700-00001A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43" name="Line 330">
          <a:extLst>
            <a:ext uri="{FF2B5EF4-FFF2-40B4-BE49-F238E27FC236}">
              <a16:creationId xmlns:a16="http://schemas.microsoft.com/office/drawing/2014/main" id="{00000000-0008-0000-1700-00001B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44" name="Line 135">
          <a:extLst>
            <a:ext uri="{FF2B5EF4-FFF2-40B4-BE49-F238E27FC236}">
              <a16:creationId xmlns:a16="http://schemas.microsoft.com/office/drawing/2014/main" id="{00000000-0008-0000-1700-00001C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45" name="Line 330">
          <a:extLst>
            <a:ext uri="{FF2B5EF4-FFF2-40B4-BE49-F238E27FC236}">
              <a16:creationId xmlns:a16="http://schemas.microsoft.com/office/drawing/2014/main" id="{00000000-0008-0000-1700-00001D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46" name="Line 330">
          <a:extLst>
            <a:ext uri="{FF2B5EF4-FFF2-40B4-BE49-F238E27FC236}">
              <a16:creationId xmlns:a16="http://schemas.microsoft.com/office/drawing/2014/main" id="{00000000-0008-0000-1700-00001E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47" name="Line 135">
          <a:extLst>
            <a:ext uri="{FF2B5EF4-FFF2-40B4-BE49-F238E27FC236}">
              <a16:creationId xmlns:a16="http://schemas.microsoft.com/office/drawing/2014/main" id="{00000000-0008-0000-1700-00001F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48" name="Line 612">
          <a:extLst>
            <a:ext uri="{FF2B5EF4-FFF2-40B4-BE49-F238E27FC236}">
              <a16:creationId xmlns:a16="http://schemas.microsoft.com/office/drawing/2014/main" id="{00000000-0008-0000-1700-000020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49" name="Line 135">
          <a:extLst>
            <a:ext uri="{FF2B5EF4-FFF2-40B4-BE49-F238E27FC236}">
              <a16:creationId xmlns:a16="http://schemas.microsoft.com/office/drawing/2014/main" id="{00000000-0008-0000-1700-000021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50" name="Line 330">
          <a:extLst>
            <a:ext uri="{FF2B5EF4-FFF2-40B4-BE49-F238E27FC236}">
              <a16:creationId xmlns:a16="http://schemas.microsoft.com/office/drawing/2014/main" id="{00000000-0008-0000-1700-000022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51" name="Line 135">
          <a:extLst>
            <a:ext uri="{FF2B5EF4-FFF2-40B4-BE49-F238E27FC236}">
              <a16:creationId xmlns:a16="http://schemas.microsoft.com/office/drawing/2014/main" id="{00000000-0008-0000-1700-000023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52" name="Line 330">
          <a:extLst>
            <a:ext uri="{FF2B5EF4-FFF2-40B4-BE49-F238E27FC236}">
              <a16:creationId xmlns:a16="http://schemas.microsoft.com/office/drawing/2014/main" id="{00000000-0008-0000-1700-000024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53" name="Line 330">
          <a:extLst>
            <a:ext uri="{FF2B5EF4-FFF2-40B4-BE49-F238E27FC236}">
              <a16:creationId xmlns:a16="http://schemas.microsoft.com/office/drawing/2014/main" id="{00000000-0008-0000-1700-000025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54" name="Line 135">
          <a:extLst>
            <a:ext uri="{FF2B5EF4-FFF2-40B4-BE49-F238E27FC236}">
              <a16:creationId xmlns:a16="http://schemas.microsoft.com/office/drawing/2014/main" id="{00000000-0008-0000-1700-000026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55" name="Line 612">
          <a:extLst>
            <a:ext uri="{FF2B5EF4-FFF2-40B4-BE49-F238E27FC236}">
              <a16:creationId xmlns:a16="http://schemas.microsoft.com/office/drawing/2014/main" id="{00000000-0008-0000-1700-000027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56" name="Line 135">
          <a:extLst>
            <a:ext uri="{FF2B5EF4-FFF2-40B4-BE49-F238E27FC236}">
              <a16:creationId xmlns:a16="http://schemas.microsoft.com/office/drawing/2014/main" id="{00000000-0008-0000-1700-000028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57" name="Line 331">
          <a:extLst>
            <a:ext uri="{FF2B5EF4-FFF2-40B4-BE49-F238E27FC236}">
              <a16:creationId xmlns:a16="http://schemas.microsoft.com/office/drawing/2014/main" id="{00000000-0008-0000-1700-000029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58" name="Line 135">
          <a:extLst>
            <a:ext uri="{FF2B5EF4-FFF2-40B4-BE49-F238E27FC236}">
              <a16:creationId xmlns:a16="http://schemas.microsoft.com/office/drawing/2014/main" id="{00000000-0008-0000-1700-00002A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59" name="Line 330">
          <a:extLst>
            <a:ext uri="{FF2B5EF4-FFF2-40B4-BE49-F238E27FC236}">
              <a16:creationId xmlns:a16="http://schemas.microsoft.com/office/drawing/2014/main" id="{00000000-0008-0000-1700-00002B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60" name="Line 330">
          <a:extLst>
            <a:ext uri="{FF2B5EF4-FFF2-40B4-BE49-F238E27FC236}">
              <a16:creationId xmlns:a16="http://schemas.microsoft.com/office/drawing/2014/main" id="{00000000-0008-0000-1700-00002C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61" name="Line 135">
          <a:extLst>
            <a:ext uri="{FF2B5EF4-FFF2-40B4-BE49-F238E27FC236}">
              <a16:creationId xmlns:a16="http://schemas.microsoft.com/office/drawing/2014/main" id="{00000000-0008-0000-1700-00002D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62" name="Line 612">
          <a:extLst>
            <a:ext uri="{FF2B5EF4-FFF2-40B4-BE49-F238E27FC236}">
              <a16:creationId xmlns:a16="http://schemas.microsoft.com/office/drawing/2014/main" id="{00000000-0008-0000-1700-00002E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63" name="Line 135">
          <a:extLst>
            <a:ext uri="{FF2B5EF4-FFF2-40B4-BE49-F238E27FC236}">
              <a16:creationId xmlns:a16="http://schemas.microsoft.com/office/drawing/2014/main" id="{00000000-0008-0000-1700-00002F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64" name="Line 330">
          <a:extLst>
            <a:ext uri="{FF2B5EF4-FFF2-40B4-BE49-F238E27FC236}">
              <a16:creationId xmlns:a16="http://schemas.microsoft.com/office/drawing/2014/main" id="{00000000-0008-0000-1700-000030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65" name="Line 135">
          <a:extLst>
            <a:ext uri="{FF2B5EF4-FFF2-40B4-BE49-F238E27FC236}">
              <a16:creationId xmlns:a16="http://schemas.microsoft.com/office/drawing/2014/main" id="{00000000-0008-0000-1700-000031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66" name="Line 330">
          <a:extLst>
            <a:ext uri="{FF2B5EF4-FFF2-40B4-BE49-F238E27FC236}">
              <a16:creationId xmlns:a16="http://schemas.microsoft.com/office/drawing/2014/main" id="{00000000-0008-0000-1700-000032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67" name="Line 330">
          <a:extLst>
            <a:ext uri="{FF2B5EF4-FFF2-40B4-BE49-F238E27FC236}">
              <a16:creationId xmlns:a16="http://schemas.microsoft.com/office/drawing/2014/main" id="{00000000-0008-0000-1700-000033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68" name="Line 135">
          <a:extLst>
            <a:ext uri="{FF2B5EF4-FFF2-40B4-BE49-F238E27FC236}">
              <a16:creationId xmlns:a16="http://schemas.microsoft.com/office/drawing/2014/main" id="{00000000-0008-0000-1700-000034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69" name="Line 612">
          <a:extLst>
            <a:ext uri="{FF2B5EF4-FFF2-40B4-BE49-F238E27FC236}">
              <a16:creationId xmlns:a16="http://schemas.microsoft.com/office/drawing/2014/main" id="{00000000-0008-0000-1700-000035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70" name="Line 135">
          <a:extLst>
            <a:ext uri="{FF2B5EF4-FFF2-40B4-BE49-F238E27FC236}">
              <a16:creationId xmlns:a16="http://schemas.microsoft.com/office/drawing/2014/main" id="{00000000-0008-0000-1700-000036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71" name="Line 331">
          <a:extLst>
            <a:ext uri="{FF2B5EF4-FFF2-40B4-BE49-F238E27FC236}">
              <a16:creationId xmlns:a16="http://schemas.microsoft.com/office/drawing/2014/main" id="{00000000-0008-0000-1700-000037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72" name="Line 135">
          <a:extLst>
            <a:ext uri="{FF2B5EF4-FFF2-40B4-BE49-F238E27FC236}">
              <a16:creationId xmlns:a16="http://schemas.microsoft.com/office/drawing/2014/main" id="{00000000-0008-0000-1700-000038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73" name="Line 330">
          <a:extLst>
            <a:ext uri="{FF2B5EF4-FFF2-40B4-BE49-F238E27FC236}">
              <a16:creationId xmlns:a16="http://schemas.microsoft.com/office/drawing/2014/main" id="{00000000-0008-0000-1700-000039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74" name="Line 330">
          <a:extLst>
            <a:ext uri="{FF2B5EF4-FFF2-40B4-BE49-F238E27FC236}">
              <a16:creationId xmlns:a16="http://schemas.microsoft.com/office/drawing/2014/main" id="{00000000-0008-0000-1700-00003A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75" name="Line 135">
          <a:extLst>
            <a:ext uri="{FF2B5EF4-FFF2-40B4-BE49-F238E27FC236}">
              <a16:creationId xmlns:a16="http://schemas.microsoft.com/office/drawing/2014/main" id="{00000000-0008-0000-1700-00003B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76" name="Line 612">
          <a:extLst>
            <a:ext uri="{FF2B5EF4-FFF2-40B4-BE49-F238E27FC236}">
              <a16:creationId xmlns:a16="http://schemas.microsoft.com/office/drawing/2014/main" id="{00000000-0008-0000-1700-00003C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77" name="Line 135">
          <a:extLst>
            <a:ext uri="{FF2B5EF4-FFF2-40B4-BE49-F238E27FC236}">
              <a16:creationId xmlns:a16="http://schemas.microsoft.com/office/drawing/2014/main" id="{00000000-0008-0000-1700-00003D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78" name="Line 330">
          <a:extLst>
            <a:ext uri="{FF2B5EF4-FFF2-40B4-BE49-F238E27FC236}">
              <a16:creationId xmlns:a16="http://schemas.microsoft.com/office/drawing/2014/main" id="{00000000-0008-0000-1700-00003E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79" name="Line 135">
          <a:extLst>
            <a:ext uri="{FF2B5EF4-FFF2-40B4-BE49-F238E27FC236}">
              <a16:creationId xmlns:a16="http://schemas.microsoft.com/office/drawing/2014/main" id="{00000000-0008-0000-1700-00003F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80" name="Line 330">
          <a:extLst>
            <a:ext uri="{FF2B5EF4-FFF2-40B4-BE49-F238E27FC236}">
              <a16:creationId xmlns:a16="http://schemas.microsoft.com/office/drawing/2014/main" id="{00000000-0008-0000-1700-000040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81" name="Line 330">
          <a:extLst>
            <a:ext uri="{FF2B5EF4-FFF2-40B4-BE49-F238E27FC236}">
              <a16:creationId xmlns:a16="http://schemas.microsoft.com/office/drawing/2014/main" id="{00000000-0008-0000-1700-000041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82" name="Line 135">
          <a:extLst>
            <a:ext uri="{FF2B5EF4-FFF2-40B4-BE49-F238E27FC236}">
              <a16:creationId xmlns:a16="http://schemas.microsoft.com/office/drawing/2014/main" id="{00000000-0008-0000-1700-000042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83" name="Line 612">
          <a:extLst>
            <a:ext uri="{FF2B5EF4-FFF2-40B4-BE49-F238E27FC236}">
              <a16:creationId xmlns:a16="http://schemas.microsoft.com/office/drawing/2014/main" id="{00000000-0008-0000-1700-000043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84" name="Line 135">
          <a:extLst>
            <a:ext uri="{FF2B5EF4-FFF2-40B4-BE49-F238E27FC236}">
              <a16:creationId xmlns:a16="http://schemas.microsoft.com/office/drawing/2014/main" id="{00000000-0008-0000-1700-000044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85" name="Line 330">
          <a:extLst>
            <a:ext uri="{FF2B5EF4-FFF2-40B4-BE49-F238E27FC236}">
              <a16:creationId xmlns:a16="http://schemas.microsoft.com/office/drawing/2014/main" id="{00000000-0008-0000-1700-000045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86" name="Line 330">
          <a:extLst>
            <a:ext uri="{FF2B5EF4-FFF2-40B4-BE49-F238E27FC236}">
              <a16:creationId xmlns:a16="http://schemas.microsoft.com/office/drawing/2014/main" id="{00000000-0008-0000-1700-000046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87" name="Line 135">
          <a:extLst>
            <a:ext uri="{FF2B5EF4-FFF2-40B4-BE49-F238E27FC236}">
              <a16:creationId xmlns:a16="http://schemas.microsoft.com/office/drawing/2014/main" id="{00000000-0008-0000-1700-000047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88" name="Line 612">
          <a:extLst>
            <a:ext uri="{FF2B5EF4-FFF2-40B4-BE49-F238E27FC236}">
              <a16:creationId xmlns:a16="http://schemas.microsoft.com/office/drawing/2014/main" id="{00000000-0008-0000-1700-000048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89" name="Line 330">
          <a:extLst>
            <a:ext uri="{FF2B5EF4-FFF2-40B4-BE49-F238E27FC236}">
              <a16:creationId xmlns:a16="http://schemas.microsoft.com/office/drawing/2014/main" id="{00000000-0008-0000-1700-000049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90" name="Line 135">
          <a:extLst>
            <a:ext uri="{FF2B5EF4-FFF2-40B4-BE49-F238E27FC236}">
              <a16:creationId xmlns:a16="http://schemas.microsoft.com/office/drawing/2014/main" id="{00000000-0008-0000-1700-00004A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91" name="Line 612">
          <a:extLst>
            <a:ext uri="{FF2B5EF4-FFF2-40B4-BE49-F238E27FC236}">
              <a16:creationId xmlns:a16="http://schemas.microsoft.com/office/drawing/2014/main" id="{00000000-0008-0000-1700-00004B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12700</xdr:colOff>
      <xdr:row>5</xdr:row>
      <xdr:rowOff>0</xdr:rowOff>
    </xdr:from>
    <xdr:to>
      <xdr:col>3</xdr:col>
      <xdr:colOff>0</xdr:colOff>
      <xdr:row>5</xdr:row>
      <xdr:rowOff>520700</xdr:rowOff>
    </xdr:to>
    <xdr:sp macro="" textlink="">
      <xdr:nvSpPr>
        <xdr:cNvPr id="2555404" name="Line 2">
          <a:extLst>
            <a:ext uri="{FF2B5EF4-FFF2-40B4-BE49-F238E27FC236}">
              <a16:creationId xmlns:a16="http://schemas.microsoft.com/office/drawing/2014/main" id="{00000000-0008-0000-1900-00000CFE2600}"/>
            </a:ext>
          </a:extLst>
        </xdr:cNvPr>
        <xdr:cNvSpPr>
          <a:spLocks noChangeShapeType="1"/>
        </xdr:cNvSpPr>
      </xdr:nvSpPr>
      <xdr:spPr bwMode="auto">
        <a:xfrm flipV="1">
          <a:off x="1816100" y="0"/>
          <a:ext cx="5969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xdr:col>
      <xdr:colOff>0</xdr:colOff>
      <xdr:row>5</xdr:row>
      <xdr:rowOff>0</xdr:rowOff>
    </xdr:from>
    <xdr:to>
      <xdr:col>3</xdr:col>
      <xdr:colOff>0</xdr:colOff>
      <xdr:row>6</xdr:row>
      <xdr:rowOff>0</xdr:rowOff>
    </xdr:to>
    <xdr:sp macro="" textlink="">
      <xdr:nvSpPr>
        <xdr:cNvPr id="2555405" name="Line 3">
          <a:extLst>
            <a:ext uri="{FF2B5EF4-FFF2-40B4-BE49-F238E27FC236}">
              <a16:creationId xmlns:a16="http://schemas.microsoft.com/office/drawing/2014/main" id="{00000000-0008-0000-1900-00000DFE2600}"/>
            </a:ext>
          </a:extLst>
        </xdr:cNvPr>
        <xdr:cNvSpPr>
          <a:spLocks noChangeShapeType="1"/>
        </xdr:cNvSpPr>
      </xdr:nvSpPr>
      <xdr:spPr bwMode="auto">
        <a:xfrm>
          <a:off x="18034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5</xdr:row>
      <xdr:rowOff>0</xdr:rowOff>
    </xdr:from>
    <xdr:to>
      <xdr:col>4</xdr:col>
      <xdr:colOff>0</xdr:colOff>
      <xdr:row>6</xdr:row>
      <xdr:rowOff>0</xdr:rowOff>
    </xdr:to>
    <xdr:sp macro="" textlink="">
      <xdr:nvSpPr>
        <xdr:cNvPr id="2555406" name="Line 4">
          <a:extLst>
            <a:ext uri="{FF2B5EF4-FFF2-40B4-BE49-F238E27FC236}">
              <a16:creationId xmlns:a16="http://schemas.microsoft.com/office/drawing/2014/main" id="{00000000-0008-0000-1900-00000EFE2600}"/>
            </a:ext>
          </a:extLst>
        </xdr:cNvPr>
        <xdr:cNvSpPr>
          <a:spLocks noChangeShapeType="1"/>
        </xdr:cNvSpPr>
      </xdr:nvSpPr>
      <xdr:spPr bwMode="auto">
        <a:xfrm>
          <a:off x="2413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5</xdr:row>
      <xdr:rowOff>0</xdr:rowOff>
    </xdr:from>
    <xdr:to>
      <xdr:col>4</xdr:col>
      <xdr:colOff>0</xdr:colOff>
      <xdr:row>6</xdr:row>
      <xdr:rowOff>0</xdr:rowOff>
    </xdr:to>
    <xdr:sp macro="" textlink="">
      <xdr:nvSpPr>
        <xdr:cNvPr id="2555407" name="Line 5">
          <a:extLst>
            <a:ext uri="{FF2B5EF4-FFF2-40B4-BE49-F238E27FC236}">
              <a16:creationId xmlns:a16="http://schemas.microsoft.com/office/drawing/2014/main" id="{00000000-0008-0000-1900-00000FFE2600}"/>
            </a:ext>
          </a:extLst>
        </xdr:cNvPr>
        <xdr:cNvSpPr>
          <a:spLocks noChangeShapeType="1"/>
        </xdr:cNvSpPr>
      </xdr:nvSpPr>
      <xdr:spPr bwMode="auto">
        <a:xfrm flipV="1">
          <a:off x="2413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5</xdr:col>
      <xdr:colOff>0</xdr:colOff>
      <xdr:row>5</xdr:row>
      <xdr:rowOff>0</xdr:rowOff>
    </xdr:from>
    <xdr:to>
      <xdr:col>6</xdr:col>
      <xdr:colOff>0</xdr:colOff>
      <xdr:row>6</xdr:row>
      <xdr:rowOff>0</xdr:rowOff>
    </xdr:to>
    <xdr:sp macro="" textlink="">
      <xdr:nvSpPr>
        <xdr:cNvPr id="2555408" name="Line 6">
          <a:extLst>
            <a:ext uri="{FF2B5EF4-FFF2-40B4-BE49-F238E27FC236}">
              <a16:creationId xmlns:a16="http://schemas.microsoft.com/office/drawing/2014/main" id="{00000000-0008-0000-1900-000010FE2600}"/>
            </a:ext>
          </a:extLst>
        </xdr:cNvPr>
        <xdr:cNvSpPr>
          <a:spLocks noChangeShapeType="1"/>
        </xdr:cNvSpPr>
      </xdr:nvSpPr>
      <xdr:spPr bwMode="auto">
        <a:xfrm>
          <a:off x="36322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5</xdr:col>
      <xdr:colOff>0</xdr:colOff>
      <xdr:row>5</xdr:row>
      <xdr:rowOff>0</xdr:rowOff>
    </xdr:from>
    <xdr:to>
      <xdr:col>6</xdr:col>
      <xdr:colOff>0</xdr:colOff>
      <xdr:row>6</xdr:row>
      <xdr:rowOff>0</xdr:rowOff>
    </xdr:to>
    <xdr:sp macro="" textlink="">
      <xdr:nvSpPr>
        <xdr:cNvPr id="2555409" name="Line 7">
          <a:extLst>
            <a:ext uri="{FF2B5EF4-FFF2-40B4-BE49-F238E27FC236}">
              <a16:creationId xmlns:a16="http://schemas.microsoft.com/office/drawing/2014/main" id="{00000000-0008-0000-1900-000011FE2600}"/>
            </a:ext>
          </a:extLst>
        </xdr:cNvPr>
        <xdr:cNvSpPr>
          <a:spLocks noChangeShapeType="1"/>
        </xdr:cNvSpPr>
      </xdr:nvSpPr>
      <xdr:spPr bwMode="auto">
        <a:xfrm flipV="1">
          <a:off x="36322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15</xdr:col>
      <xdr:colOff>0</xdr:colOff>
      <xdr:row>5</xdr:row>
      <xdr:rowOff>0</xdr:rowOff>
    </xdr:from>
    <xdr:to>
      <xdr:col>16</xdr:col>
      <xdr:colOff>0</xdr:colOff>
      <xdr:row>6</xdr:row>
      <xdr:rowOff>0</xdr:rowOff>
    </xdr:to>
    <xdr:sp macro="" textlink="">
      <xdr:nvSpPr>
        <xdr:cNvPr id="2555410" name="Line 8">
          <a:extLst>
            <a:ext uri="{FF2B5EF4-FFF2-40B4-BE49-F238E27FC236}">
              <a16:creationId xmlns:a16="http://schemas.microsoft.com/office/drawing/2014/main" id="{00000000-0008-0000-1900-000012FE2600}"/>
            </a:ext>
          </a:extLst>
        </xdr:cNvPr>
        <xdr:cNvSpPr>
          <a:spLocks noChangeShapeType="1"/>
        </xdr:cNvSpPr>
      </xdr:nvSpPr>
      <xdr:spPr bwMode="auto">
        <a:xfrm>
          <a:off x="97282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15</xdr:col>
      <xdr:colOff>0</xdr:colOff>
      <xdr:row>5</xdr:row>
      <xdr:rowOff>0</xdr:rowOff>
    </xdr:from>
    <xdr:to>
      <xdr:col>16</xdr:col>
      <xdr:colOff>0</xdr:colOff>
      <xdr:row>6</xdr:row>
      <xdr:rowOff>0</xdr:rowOff>
    </xdr:to>
    <xdr:sp macro="" textlink="">
      <xdr:nvSpPr>
        <xdr:cNvPr id="2555411" name="Line 9">
          <a:extLst>
            <a:ext uri="{FF2B5EF4-FFF2-40B4-BE49-F238E27FC236}">
              <a16:creationId xmlns:a16="http://schemas.microsoft.com/office/drawing/2014/main" id="{00000000-0008-0000-1900-000013FE2600}"/>
            </a:ext>
          </a:extLst>
        </xdr:cNvPr>
        <xdr:cNvSpPr>
          <a:spLocks noChangeShapeType="1"/>
        </xdr:cNvSpPr>
      </xdr:nvSpPr>
      <xdr:spPr bwMode="auto">
        <a:xfrm flipV="1">
          <a:off x="97282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16</xdr:col>
      <xdr:colOff>0</xdr:colOff>
      <xdr:row>5</xdr:row>
      <xdr:rowOff>0</xdr:rowOff>
    </xdr:from>
    <xdr:to>
      <xdr:col>17</xdr:col>
      <xdr:colOff>0</xdr:colOff>
      <xdr:row>6</xdr:row>
      <xdr:rowOff>0</xdr:rowOff>
    </xdr:to>
    <xdr:sp macro="" textlink="">
      <xdr:nvSpPr>
        <xdr:cNvPr id="2555412" name="Line 10">
          <a:extLst>
            <a:ext uri="{FF2B5EF4-FFF2-40B4-BE49-F238E27FC236}">
              <a16:creationId xmlns:a16="http://schemas.microsoft.com/office/drawing/2014/main" id="{00000000-0008-0000-1900-000014FE2600}"/>
            </a:ext>
          </a:extLst>
        </xdr:cNvPr>
        <xdr:cNvSpPr>
          <a:spLocks noChangeShapeType="1"/>
        </xdr:cNvSpPr>
      </xdr:nvSpPr>
      <xdr:spPr bwMode="auto">
        <a:xfrm>
          <a:off x="103378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16</xdr:col>
      <xdr:colOff>0</xdr:colOff>
      <xdr:row>5</xdr:row>
      <xdr:rowOff>0</xdr:rowOff>
    </xdr:from>
    <xdr:to>
      <xdr:col>17</xdr:col>
      <xdr:colOff>0</xdr:colOff>
      <xdr:row>6</xdr:row>
      <xdr:rowOff>0</xdr:rowOff>
    </xdr:to>
    <xdr:sp macro="" textlink="">
      <xdr:nvSpPr>
        <xdr:cNvPr id="2555413" name="Line 11">
          <a:extLst>
            <a:ext uri="{FF2B5EF4-FFF2-40B4-BE49-F238E27FC236}">
              <a16:creationId xmlns:a16="http://schemas.microsoft.com/office/drawing/2014/main" id="{00000000-0008-0000-1900-000015FE2600}"/>
            </a:ext>
          </a:extLst>
        </xdr:cNvPr>
        <xdr:cNvSpPr>
          <a:spLocks noChangeShapeType="1"/>
        </xdr:cNvSpPr>
      </xdr:nvSpPr>
      <xdr:spPr bwMode="auto">
        <a:xfrm flipV="1">
          <a:off x="103378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6</xdr:col>
      <xdr:colOff>0</xdr:colOff>
      <xdr:row>5</xdr:row>
      <xdr:rowOff>0</xdr:rowOff>
    </xdr:from>
    <xdr:to>
      <xdr:col>7</xdr:col>
      <xdr:colOff>0</xdr:colOff>
      <xdr:row>6</xdr:row>
      <xdr:rowOff>0</xdr:rowOff>
    </xdr:to>
    <xdr:sp macro="" textlink="">
      <xdr:nvSpPr>
        <xdr:cNvPr id="2555414" name="Line 12">
          <a:extLst>
            <a:ext uri="{FF2B5EF4-FFF2-40B4-BE49-F238E27FC236}">
              <a16:creationId xmlns:a16="http://schemas.microsoft.com/office/drawing/2014/main" id="{00000000-0008-0000-1900-000016FE2600}"/>
            </a:ext>
          </a:extLst>
        </xdr:cNvPr>
        <xdr:cNvSpPr>
          <a:spLocks noChangeShapeType="1"/>
        </xdr:cNvSpPr>
      </xdr:nvSpPr>
      <xdr:spPr bwMode="auto">
        <a:xfrm>
          <a:off x="42418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6</xdr:col>
      <xdr:colOff>0</xdr:colOff>
      <xdr:row>5</xdr:row>
      <xdr:rowOff>0</xdr:rowOff>
    </xdr:from>
    <xdr:to>
      <xdr:col>7</xdr:col>
      <xdr:colOff>0</xdr:colOff>
      <xdr:row>6</xdr:row>
      <xdr:rowOff>0</xdr:rowOff>
    </xdr:to>
    <xdr:sp macro="" textlink="">
      <xdr:nvSpPr>
        <xdr:cNvPr id="2555415" name="Line 13">
          <a:extLst>
            <a:ext uri="{FF2B5EF4-FFF2-40B4-BE49-F238E27FC236}">
              <a16:creationId xmlns:a16="http://schemas.microsoft.com/office/drawing/2014/main" id="{00000000-0008-0000-1900-000017FE2600}"/>
            </a:ext>
          </a:extLst>
        </xdr:cNvPr>
        <xdr:cNvSpPr>
          <a:spLocks noChangeShapeType="1"/>
        </xdr:cNvSpPr>
      </xdr:nvSpPr>
      <xdr:spPr bwMode="auto">
        <a:xfrm flipV="1">
          <a:off x="42418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8</xdr:col>
      <xdr:colOff>0</xdr:colOff>
      <xdr:row>5</xdr:row>
      <xdr:rowOff>0</xdr:rowOff>
    </xdr:from>
    <xdr:to>
      <xdr:col>9</xdr:col>
      <xdr:colOff>0</xdr:colOff>
      <xdr:row>6</xdr:row>
      <xdr:rowOff>0</xdr:rowOff>
    </xdr:to>
    <xdr:sp macro="" textlink="">
      <xdr:nvSpPr>
        <xdr:cNvPr id="2555416" name="Line 14">
          <a:extLst>
            <a:ext uri="{FF2B5EF4-FFF2-40B4-BE49-F238E27FC236}">
              <a16:creationId xmlns:a16="http://schemas.microsoft.com/office/drawing/2014/main" id="{00000000-0008-0000-1900-000018FE2600}"/>
            </a:ext>
          </a:extLst>
        </xdr:cNvPr>
        <xdr:cNvSpPr>
          <a:spLocks noChangeShapeType="1"/>
        </xdr:cNvSpPr>
      </xdr:nvSpPr>
      <xdr:spPr bwMode="auto">
        <a:xfrm>
          <a:off x="5461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8</xdr:col>
      <xdr:colOff>0</xdr:colOff>
      <xdr:row>5</xdr:row>
      <xdr:rowOff>0</xdr:rowOff>
    </xdr:from>
    <xdr:to>
      <xdr:col>9</xdr:col>
      <xdr:colOff>0</xdr:colOff>
      <xdr:row>6</xdr:row>
      <xdr:rowOff>0</xdr:rowOff>
    </xdr:to>
    <xdr:sp macro="" textlink="">
      <xdr:nvSpPr>
        <xdr:cNvPr id="2555417" name="Line 15">
          <a:extLst>
            <a:ext uri="{FF2B5EF4-FFF2-40B4-BE49-F238E27FC236}">
              <a16:creationId xmlns:a16="http://schemas.microsoft.com/office/drawing/2014/main" id="{00000000-0008-0000-1900-000019FE2600}"/>
            </a:ext>
          </a:extLst>
        </xdr:cNvPr>
        <xdr:cNvSpPr>
          <a:spLocks noChangeShapeType="1"/>
        </xdr:cNvSpPr>
      </xdr:nvSpPr>
      <xdr:spPr bwMode="auto">
        <a:xfrm flipV="1">
          <a:off x="5461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9</xdr:col>
      <xdr:colOff>0</xdr:colOff>
      <xdr:row>5</xdr:row>
      <xdr:rowOff>0</xdr:rowOff>
    </xdr:from>
    <xdr:to>
      <xdr:col>10</xdr:col>
      <xdr:colOff>0</xdr:colOff>
      <xdr:row>6</xdr:row>
      <xdr:rowOff>0</xdr:rowOff>
    </xdr:to>
    <xdr:sp macro="" textlink="">
      <xdr:nvSpPr>
        <xdr:cNvPr id="2555418" name="Line 16">
          <a:extLst>
            <a:ext uri="{FF2B5EF4-FFF2-40B4-BE49-F238E27FC236}">
              <a16:creationId xmlns:a16="http://schemas.microsoft.com/office/drawing/2014/main" id="{00000000-0008-0000-1900-00001AFE2600}"/>
            </a:ext>
          </a:extLst>
        </xdr:cNvPr>
        <xdr:cNvSpPr>
          <a:spLocks noChangeShapeType="1"/>
        </xdr:cNvSpPr>
      </xdr:nvSpPr>
      <xdr:spPr bwMode="auto">
        <a:xfrm>
          <a:off x="6070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9</xdr:col>
      <xdr:colOff>0</xdr:colOff>
      <xdr:row>5</xdr:row>
      <xdr:rowOff>0</xdr:rowOff>
    </xdr:from>
    <xdr:to>
      <xdr:col>10</xdr:col>
      <xdr:colOff>0</xdr:colOff>
      <xdr:row>6</xdr:row>
      <xdr:rowOff>0</xdr:rowOff>
    </xdr:to>
    <xdr:sp macro="" textlink="">
      <xdr:nvSpPr>
        <xdr:cNvPr id="2555419" name="Line 17">
          <a:extLst>
            <a:ext uri="{FF2B5EF4-FFF2-40B4-BE49-F238E27FC236}">
              <a16:creationId xmlns:a16="http://schemas.microsoft.com/office/drawing/2014/main" id="{00000000-0008-0000-1900-00001BFE2600}"/>
            </a:ext>
          </a:extLst>
        </xdr:cNvPr>
        <xdr:cNvSpPr>
          <a:spLocks noChangeShapeType="1"/>
        </xdr:cNvSpPr>
      </xdr:nvSpPr>
      <xdr:spPr bwMode="auto">
        <a:xfrm flipV="1">
          <a:off x="6070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17</xdr:col>
      <xdr:colOff>0</xdr:colOff>
      <xdr:row>5</xdr:row>
      <xdr:rowOff>0</xdr:rowOff>
    </xdr:from>
    <xdr:to>
      <xdr:col>18</xdr:col>
      <xdr:colOff>0</xdr:colOff>
      <xdr:row>6</xdr:row>
      <xdr:rowOff>0</xdr:rowOff>
    </xdr:to>
    <xdr:sp macro="" textlink="">
      <xdr:nvSpPr>
        <xdr:cNvPr id="2555420" name="Line 20">
          <a:extLst>
            <a:ext uri="{FF2B5EF4-FFF2-40B4-BE49-F238E27FC236}">
              <a16:creationId xmlns:a16="http://schemas.microsoft.com/office/drawing/2014/main" id="{00000000-0008-0000-1900-00001CFE2600}"/>
            </a:ext>
          </a:extLst>
        </xdr:cNvPr>
        <xdr:cNvSpPr>
          <a:spLocks noChangeShapeType="1"/>
        </xdr:cNvSpPr>
      </xdr:nvSpPr>
      <xdr:spPr bwMode="auto">
        <a:xfrm>
          <a:off x="109474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17</xdr:col>
      <xdr:colOff>0</xdr:colOff>
      <xdr:row>5</xdr:row>
      <xdr:rowOff>0</xdr:rowOff>
    </xdr:from>
    <xdr:to>
      <xdr:col>18</xdr:col>
      <xdr:colOff>0</xdr:colOff>
      <xdr:row>6</xdr:row>
      <xdr:rowOff>0</xdr:rowOff>
    </xdr:to>
    <xdr:sp macro="" textlink="">
      <xdr:nvSpPr>
        <xdr:cNvPr id="2555421" name="Line 21">
          <a:extLst>
            <a:ext uri="{FF2B5EF4-FFF2-40B4-BE49-F238E27FC236}">
              <a16:creationId xmlns:a16="http://schemas.microsoft.com/office/drawing/2014/main" id="{00000000-0008-0000-1900-00001DFE2600}"/>
            </a:ext>
          </a:extLst>
        </xdr:cNvPr>
        <xdr:cNvSpPr>
          <a:spLocks noChangeShapeType="1"/>
        </xdr:cNvSpPr>
      </xdr:nvSpPr>
      <xdr:spPr bwMode="auto">
        <a:xfrm flipV="1">
          <a:off x="109474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18</xdr:col>
      <xdr:colOff>0</xdr:colOff>
      <xdr:row>5</xdr:row>
      <xdr:rowOff>0</xdr:rowOff>
    </xdr:from>
    <xdr:to>
      <xdr:col>18</xdr:col>
      <xdr:colOff>0</xdr:colOff>
      <xdr:row>6</xdr:row>
      <xdr:rowOff>0</xdr:rowOff>
    </xdr:to>
    <xdr:sp macro="" textlink="">
      <xdr:nvSpPr>
        <xdr:cNvPr id="2555422" name="Line 22">
          <a:extLst>
            <a:ext uri="{FF2B5EF4-FFF2-40B4-BE49-F238E27FC236}">
              <a16:creationId xmlns:a16="http://schemas.microsoft.com/office/drawing/2014/main" id="{00000000-0008-0000-1900-00001EFE2600}"/>
            </a:ext>
          </a:extLst>
        </xdr:cNvPr>
        <xdr:cNvSpPr>
          <a:spLocks noChangeShapeType="1"/>
        </xdr:cNvSpPr>
      </xdr:nvSpPr>
      <xdr:spPr bwMode="auto">
        <a:xfrm>
          <a:off x="11557000" y="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18</xdr:col>
      <xdr:colOff>0</xdr:colOff>
      <xdr:row>5</xdr:row>
      <xdr:rowOff>0</xdr:rowOff>
    </xdr:from>
    <xdr:to>
      <xdr:col>18</xdr:col>
      <xdr:colOff>0</xdr:colOff>
      <xdr:row>6</xdr:row>
      <xdr:rowOff>0</xdr:rowOff>
    </xdr:to>
    <xdr:sp macro="" textlink="">
      <xdr:nvSpPr>
        <xdr:cNvPr id="2555423" name="Line 23">
          <a:extLst>
            <a:ext uri="{FF2B5EF4-FFF2-40B4-BE49-F238E27FC236}">
              <a16:creationId xmlns:a16="http://schemas.microsoft.com/office/drawing/2014/main" id="{00000000-0008-0000-1900-00001FFE2600}"/>
            </a:ext>
          </a:extLst>
        </xdr:cNvPr>
        <xdr:cNvSpPr>
          <a:spLocks noChangeShapeType="1"/>
        </xdr:cNvSpPr>
      </xdr:nvSpPr>
      <xdr:spPr bwMode="auto">
        <a:xfrm flipV="1">
          <a:off x="11557000" y="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12</xdr:col>
      <xdr:colOff>0</xdr:colOff>
      <xdr:row>5</xdr:row>
      <xdr:rowOff>0</xdr:rowOff>
    </xdr:from>
    <xdr:to>
      <xdr:col>13</xdr:col>
      <xdr:colOff>0</xdr:colOff>
      <xdr:row>6</xdr:row>
      <xdr:rowOff>0</xdr:rowOff>
    </xdr:to>
    <xdr:sp macro="" textlink="">
      <xdr:nvSpPr>
        <xdr:cNvPr id="2555424" name="Line 24">
          <a:extLst>
            <a:ext uri="{FF2B5EF4-FFF2-40B4-BE49-F238E27FC236}">
              <a16:creationId xmlns:a16="http://schemas.microsoft.com/office/drawing/2014/main" id="{00000000-0008-0000-1900-000020FE2600}"/>
            </a:ext>
          </a:extLst>
        </xdr:cNvPr>
        <xdr:cNvSpPr>
          <a:spLocks noChangeShapeType="1"/>
        </xdr:cNvSpPr>
      </xdr:nvSpPr>
      <xdr:spPr bwMode="auto">
        <a:xfrm>
          <a:off x="78994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12</xdr:col>
      <xdr:colOff>0</xdr:colOff>
      <xdr:row>5</xdr:row>
      <xdr:rowOff>0</xdr:rowOff>
    </xdr:from>
    <xdr:to>
      <xdr:col>13</xdr:col>
      <xdr:colOff>0</xdr:colOff>
      <xdr:row>6</xdr:row>
      <xdr:rowOff>0</xdr:rowOff>
    </xdr:to>
    <xdr:sp macro="" textlink="">
      <xdr:nvSpPr>
        <xdr:cNvPr id="2555425" name="Line 25">
          <a:extLst>
            <a:ext uri="{FF2B5EF4-FFF2-40B4-BE49-F238E27FC236}">
              <a16:creationId xmlns:a16="http://schemas.microsoft.com/office/drawing/2014/main" id="{00000000-0008-0000-1900-000021FE2600}"/>
            </a:ext>
          </a:extLst>
        </xdr:cNvPr>
        <xdr:cNvSpPr>
          <a:spLocks noChangeShapeType="1"/>
        </xdr:cNvSpPr>
      </xdr:nvSpPr>
      <xdr:spPr bwMode="auto">
        <a:xfrm flipV="1">
          <a:off x="78994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18</xdr:col>
      <xdr:colOff>0</xdr:colOff>
      <xdr:row>5</xdr:row>
      <xdr:rowOff>0</xdr:rowOff>
    </xdr:from>
    <xdr:to>
      <xdr:col>19</xdr:col>
      <xdr:colOff>0</xdr:colOff>
      <xdr:row>6</xdr:row>
      <xdr:rowOff>0</xdr:rowOff>
    </xdr:to>
    <xdr:sp macro="" textlink="">
      <xdr:nvSpPr>
        <xdr:cNvPr id="2555426" name="Line 28">
          <a:extLst>
            <a:ext uri="{FF2B5EF4-FFF2-40B4-BE49-F238E27FC236}">
              <a16:creationId xmlns:a16="http://schemas.microsoft.com/office/drawing/2014/main" id="{00000000-0008-0000-1900-000022FE2600}"/>
            </a:ext>
          </a:extLst>
        </xdr:cNvPr>
        <xdr:cNvSpPr>
          <a:spLocks noChangeShapeType="1"/>
        </xdr:cNvSpPr>
      </xdr:nvSpPr>
      <xdr:spPr bwMode="auto">
        <a:xfrm>
          <a:off x="11557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18</xdr:col>
      <xdr:colOff>0</xdr:colOff>
      <xdr:row>5</xdr:row>
      <xdr:rowOff>0</xdr:rowOff>
    </xdr:from>
    <xdr:to>
      <xdr:col>19</xdr:col>
      <xdr:colOff>0</xdr:colOff>
      <xdr:row>6</xdr:row>
      <xdr:rowOff>0</xdr:rowOff>
    </xdr:to>
    <xdr:sp macro="" textlink="">
      <xdr:nvSpPr>
        <xdr:cNvPr id="2555427" name="Line 29">
          <a:extLst>
            <a:ext uri="{FF2B5EF4-FFF2-40B4-BE49-F238E27FC236}">
              <a16:creationId xmlns:a16="http://schemas.microsoft.com/office/drawing/2014/main" id="{00000000-0008-0000-1900-000023FE2600}"/>
            </a:ext>
          </a:extLst>
        </xdr:cNvPr>
        <xdr:cNvSpPr>
          <a:spLocks noChangeShapeType="1"/>
        </xdr:cNvSpPr>
      </xdr:nvSpPr>
      <xdr:spPr bwMode="auto">
        <a:xfrm flipV="1">
          <a:off x="11557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14</xdr:col>
      <xdr:colOff>0</xdr:colOff>
      <xdr:row>5</xdr:row>
      <xdr:rowOff>0</xdr:rowOff>
    </xdr:from>
    <xdr:to>
      <xdr:col>15</xdr:col>
      <xdr:colOff>0</xdr:colOff>
      <xdr:row>6</xdr:row>
      <xdr:rowOff>0</xdr:rowOff>
    </xdr:to>
    <xdr:sp macro="" textlink="">
      <xdr:nvSpPr>
        <xdr:cNvPr id="2555428" name="Line 30">
          <a:extLst>
            <a:ext uri="{FF2B5EF4-FFF2-40B4-BE49-F238E27FC236}">
              <a16:creationId xmlns:a16="http://schemas.microsoft.com/office/drawing/2014/main" id="{00000000-0008-0000-1900-000024FE2600}"/>
            </a:ext>
          </a:extLst>
        </xdr:cNvPr>
        <xdr:cNvSpPr>
          <a:spLocks noChangeShapeType="1"/>
        </xdr:cNvSpPr>
      </xdr:nvSpPr>
      <xdr:spPr bwMode="auto">
        <a:xfrm>
          <a:off x="9118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14</xdr:col>
      <xdr:colOff>0</xdr:colOff>
      <xdr:row>5</xdr:row>
      <xdr:rowOff>0</xdr:rowOff>
    </xdr:from>
    <xdr:to>
      <xdr:col>15</xdr:col>
      <xdr:colOff>0</xdr:colOff>
      <xdr:row>6</xdr:row>
      <xdr:rowOff>0</xdr:rowOff>
    </xdr:to>
    <xdr:sp macro="" textlink="">
      <xdr:nvSpPr>
        <xdr:cNvPr id="2555429" name="Line 31">
          <a:extLst>
            <a:ext uri="{FF2B5EF4-FFF2-40B4-BE49-F238E27FC236}">
              <a16:creationId xmlns:a16="http://schemas.microsoft.com/office/drawing/2014/main" id="{00000000-0008-0000-1900-000025FE2600}"/>
            </a:ext>
          </a:extLst>
        </xdr:cNvPr>
        <xdr:cNvSpPr>
          <a:spLocks noChangeShapeType="1"/>
        </xdr:cNvSpPr>
      </xdr:nvSpPr>
      <xdr:spPr bwMode="auto">
        <a:xfrm flipV="1">
          <a:off x="9118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4</xdr:row>
      <xdr:rowOff>0</xdr:rowOff>
    </xdr:from>
    <xdr:to>
      <xdr:col>4</xdr:col>
      <xdr:colOff>0</xdr:colOff>
      <xdr:row>5</xdr:row>
      <xdr:rowOff>0</xdr:rowOff>
    </xdr:to>
    <xdr:sp macro="" textlink="">
      <xdr:nvSpPr>
        <xdr:cNvPr id="2555430" name="Line 32">
          <a:extLst>
            <a:ext uri="{FF2B5EF4-FFF2-40B4-BE49-F238E27FC236}">
              <a16:creationId xmlns:a16="http://schemas.microsoft.com/office/drawing/2014/main" id="{00000000-0008-0000-1900-000026FE2600}"/>
            </a:ext>
          </a:extLst>
        </xdr:cNvPr>
        <xdr:cNvSpPr>
          <a:spLocks noChangeShapeType="1"/>
        </xdr:cNvSpPr>
      </xdr:nvSpPr>
      <xdr:spPr bwMode="auto">
        <a:xfrm>
          <a:off x="2413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4</xdr:row>
      <xdr:rowOff>0</xdr:rowOff>
    </xdr:from>
    <xdr:to>
      <xdr:col>4</xdr:col>
      <xdr:colOff>0</xdr:colOff>
      <xdr:row>5</xdr:row>
      <xdr:rowOff>0</xdr:rowOff>
    </xdr:to>
    <xdr:sp macro="" textlink="">
      <xdr:nvSpPr>
        <xdr:cNvPr id="2555431" name="Line 33">
          <a:extLst>
            <a:ext uri="{FF2B5EF4-FFF2-40B4-BE49-F238E27FC236}">
              <a16:creationId xmlns:a16="http://schemas.microsoft.com/office/drawing/2014/main" id="{00000000-0008-0000-1900-000027FE2600}"/>
            </a:ext>
          </a:extLst>
        </xdr:cNvPr>
        <xdr:cNvSpPr>
          <a:spLocks noChangeShapeType="1"/>
        </xdr:cNvSpPr>
      </xdr:nvSpPr>
      <xdr:spPr bwMode="auto">
        <a:xfrm flipV="1">
          <a:off x="2413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5</xdr:col>
      <xdr:colOff>0</xdr:colOff>
      <xdr:row>4</xdr:row>
      <xdr:rowOff>0</xdr:rowOff>
    </xdr:from>
    <xdr:to>
      <xdr:col>6</xdr:col>
      <xdr:colOff>0</xdr:colOff>
      <xdr:row>5</xdr:row>
      <xdr:rowOff>0</xdr:rowOff>
    </xdr:to>
    <xdr:sp macro="" textlink="">
      <xdr:nvSpPr>
        <xdr:cNvPr id="2555432" name="Line 34">
          <a:extLst>
            <a:ext uri="{FF2B5EF4-FFF2-40B4-BE49-F238E27FC236}">
              <a16:creationId xmlns:a16="http://schemas.microsoft.com/office/drawing/2014/main" id="{00000000-0008-0000-1900-000028FE2600}"/>
            </a:ext>
          </a:extLst>
        </xdr:cNvPr>
        <xdr:cNvSpPr>
          <a:spLocks noChangeShapeType="1"/>
        </xdr:cNvSpPr>
      </xdr:nvSpPr>
      <xdr:spPr bwMode="auto">
        <a:xfrm>
          <a:off x="36322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5</xdr:col>
      <xdr:colOff>0</xdr:colOff>
      <xdr:row>4</xdr:row>
      <xdr:rowOff>0</xdr:rowOff>
    </xdr:from>
    <xdr:to>
      <xdr:col>6</xdr:col>
      <xdr:colOff>0</xdr:colOff>
      <xdr:row>5</xdr:row>
      <xdr:rowOff>0</xdr:rowOff>
    </xdr:to>
    <xdr:sp macro="" textlink="">
      <xdr:nvSpPr>
        <xdr:cNvPr id="2555433" name="Line 35">
          <a:extLst>
            <a:ext uri="{FF2B5EF4-FFF2-40B4-BE49-F238E27FC236}">
              <a16:creationId xmlns:a16="http://schemas.microsoft.com/office/drawing/2014/main" id="{00000000-0008-0000-1900-000029FE2600}"/>
            </a:ext>
          </a:extLst>
        </xdr:cNvPr>
        <xdr:cNvSpPr>
          <a:spLocks noChangeShapeType="1"/>
        </xdr:cNvSpPr>
      </xdr:nvSpPr>
      <xdr:spPr bwMode="auto">
        <a:xfrm flipV="1">
          <a:off x="36322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15</xdr:col>
      <xdr:colOff>0</xdr:colOff>
      <xdr:row>4</xdr:row>
      <xdr:rowOff>0</xdr:rowOff>
    </xdr:from>
    <xdr:to>
      <xdr:col>16</xdr:col>
      <xdr:colOff>0</xdr:colOff>
      <xdr:row>5</xdr:row>
      <xdr:rowOff>0</xdr:rowOff>
    </xdr:to>
    <xdr:sp macro="" textlink="">
      <xdr:nvSpPr>
        <xdr:cNvPr id="2555434" name="Line 36">
          <a:extLst>
            <a:ext uri="{FF2B5EF4-FFF2-40B4-BE49-F238E27FC236}">
              <a16:creationId xmlns:a16="http://schemas.microsoft.com/office/drawing/2014/main" id="{00000000-0008-0000-1900-00002AFE2600}"/>
            </a:ext>
          </a:extLst>
        </xdr:cNvPr>
        <xdr:cNvSpPr>
          <a:spLocks noChangeShapeType="1"/>
        </xdr:cNvSpPr>
      </xdr:nvSpPr>
      <xdr:spPr bwMode="auto">
        <a:xfrm>
          <a:off x="97282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15</xdr:col>
      <xdr:colOff>0</xdr:colOff>
      <xdr:row>4</xdr:row>
      <xdr:rowOff>0</xdr:rowOff>
    </xdr:from>
    <xdr:to>
      <xdr:col>16</xdr:col>
      <xdr:colOff>0</xdr:colOff>
      <xdr:row>5</xdr:row>
      <xdr:rowOff>0</xdr:rowOff>
    </xdr:to>
    <xdr:sp macro="" textlink="">
      <xdr:nvSpPr>
        <xdr:cNvPr id="2555435" name="Line 37">
          <a:extLst>
            <a:ext uri="{FF2B5EF4-FFF2-40B4-BE49-F238E27FC236}">
              <a16:creationId xmlns:a16="http://schemas.microsoft.com/office/drawing/2014/main" id="{00000000-0008-0000-1900-00002BFE2600}"/>
            </a:ext>
          </a:extLst>
        </xdr:cNvPr>
        <xdr:cNvSpPr>
          <a:spLocks noChangeShapeType="1"/>
        </xdr:cNvSpPr>
      </xdr:nvSpPr>
      <xdr:spPr bwMode="auto">
        <a:xfrm flipV="1">
          <a:off x="97282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16</xdr:col>
      <xdr:colOff>0</xdr:colOff>
      <xdr:row>4</xdr:row>
      <xdr:rowOff>0</xdr:rowOff>
    </xdr:from>
    <xdr:to>
      <xdr:col>17</xdr:col>
      <xdr:colOff>0</xdr:colOff>
      <xdr:row>5</xdr:row>
      <xdr:rowOff>0</xdr:rowOff>
    </xdr:to>
    <xdr:sp macro="" textlink="">
      <xdr:nvSpPr>
        <xdr:cNvPr id="2555436" name="Line 38">
          <a:extLst>
            <a:ext uri="{FF2B5EF4-FFF2-40B4-BE49-F238E27FC236}">
              <a16:creationId xmlns:a16="http://schemas.microsoft.com/office/drawing/2014/main" id="{00000000-0008-0000-1900-00002CFE2600}"/>
            </a:ext>
          </a:extLst>
        </xdr:cNvPr>
        <xdr:cNvSpPr>
          <a:spLocks noChangeShapeType="1"/>
        </xdr:cNvSpPr>
      </xdr:nvSpPr>
      <xdr:spPr bwMode="auto">
        <a:xfrm>
          <a:off x="103378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16</xdr:col>
      <xdr:colOff>0</xdr:colOff>
      <xdr:row>4</xdr:row>
      <xdr:rowOff>0</xdr:rowOff>
    </xdr:from>
    <xdr:to>
      <xdr:col>17</xdr:col>
      <xdr:colOff>0</xdr:colOff>
      <xdr:row>5</xdr:row>
      <xdr:rowOff>0</xdr:rowOff>
    </xdr:to>
    <xdr:sp macro="" textlink="">
      <xdr:nvSpPr>
        <xdr:cNvPr id="2555437" name="Line 39">
          <a:extLst>
            <a:ext uri="{FF2B5EF4-FFF2-40B4-BE49-F238E27FC236}">
              <a16:creationId xmlns:a16="http://schemas.microsoft.com/office/drawing/2014/main" id="{00000000-0008-0000-1900-00002DFE2600}"/>
            </a:ext>
          </a:extLst>
        </xdr:cNvPr>
        <xdr:cNvSpPr>
          <a:spLocks noChangeShapeType="1"/>
        </xdr:cNvSpPr>
      </xdr:nvSpPr>
      <xdr:spPr bwMode="auto">
        <a:xfrm flipV="1">
          <a:off x="103378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6</xdr:col>
      <xdr:colOff>0</xdr:colOff>
      <xdr:row>4</xdr:row>
      <xdr:rowOff>0</xdr:rowOff>
    </xdr:from>
    <xdr:to>
      <xdr:col>7</xdr:col>
      <xdr:colOff>0</xdr:colOff>
      <xdr:row>5</xdr:row>
      <xdr:rowOff>0</xdr:rowOff>
    </xdr:to>
    <xdr:sp macro="" textlink="">
      <xdr:nvSpPr>
        <xdr:cNvPr id="2555438" name="Line 40">
          <a:extLst>
            <a:ext uri="{FF2B5EF4-FFF2-40B4-BE49-F238E27FC236}">
              <a16:creationId xmlns:a16="http://schemas.microsoft.com/office/drawing/2014/main" id="{00000000-0008-0000-1900-00002EFE2600}"/>
            </a:ext>
          </a:extLst>
        </xdr:cNvPr>
        <xdr:cNvSpPr>
          <a:spLocks noChangeShapeType="1"/>
        </xdr:cNvSpPr>
      </xdr:nvSpPr>
      <xdr:spPr bwMode="auto">
        <a:xfrm>
          <a:off x="42418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6</xdr:col>
      <xdr:colOff>0</xdr:colOff>
      <xdr:row>4</xdr:row>
      <xdr:rowOff>0</xdr:rowOff>
    </xdr:from>
    <xdr:to>
      <xdr:col>7</xdr:col>
      <xdr:colOff>0</xdr:colOff>
      <xdr:row>5</xdr:row>
      <xdr:rowOff>0</xdr:rowOff>
    </xdr:to>
    <xdr:sp macro="" textlink="">
      <xdr:nvSpPr>
        <xdr:cNvPr id="2555439" name="Line 41">
          <a:extLst>
            <a:ext uri="{FF2B5EF4-FFF2-40B4-BE49-F238E27FC236}">
              <a16:creationId xmlns:a16="http://schemas.microsoft.com/office/drawing/2014/main" id="{00000000-0008-0000-1900-00002FFE2600}"/>
            </a:ext>
          </a:extLst>
        </xdr:cNvPr>
        <xdr:cNvSpPr>
          <a:spLocks noChangeShapeType="1"/>
        </xdr:cNvSpPr>
      </xdr:nvSpPr>
      <xdr:spPr bwMode="auto">
        <a:xfrm flipV="1">
          <a:off x="42418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8</xdr:col>
      <xdr:colOff>0</xdr:colOff>
      <xdr:row>4</xdr:row>
      <xdr:rowOff>0</xdr:rowOff>
    </xdr:from>
    <xdr:to>
      <xdr:col>9</xdr:col>
      <xdr:colOff>0</xdr:colOff>
      <xdr:row>5</xdr:row>
      <xdr:rowOff>0</xdr:rowOff>
    </xdr:to>
    <xdr:sp macro="" textlink="">
      <xdr:nvSpPr>
        <xdr:cNvPr id="2555440" name="Line 42">
          <a:extLst>
            <a:ext uri="{FF2B5EF4-FFF2-40B4-BE49-F238E27FC236}">
              <a16:creationId xmlns:a16="http://schemas.microsoft.com/office/drawing/2014/main" id="{00000000-0008-0000-1900-000030FE2600}"/>
            </a:ext>
          </a:extLst>
        </xdr:cNvPr>
        <xdr:cNvSpPr>
          <a:spLocks noChangeShapeType="1"/>
        </xdr:cNvSpPr>
      </xdr:nvSpPr>
      <xdr:spPr bwMode="auto">
        <a:xfrm>
          <a:off x="5461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8</xdr:col>
      <xdr:colOff>0</xdr:colOff>
      <xdr:row>4</xdr:row>
      <xdr:rowOff>0</xdr:rowOff>
    </xdr:from>
    <xdr:to>
      <xdr:col>9</xdr:col>
      <xdr:colOff>0</xdr:colOff>
      <xdr:row>5</xdr:row>
      <xdr:rowOff>0</xdr:rowOff>
    </xdr:to>
    <xdr:sp macro="" textlink="">
      <xdr:nvSpPr>
        <xdr:cNvPr id="2555441" name="Line 43">
          <a:extLst>
            <a:ext uri="{FF2B5EF4-FFF2-40B4-BE49-F238E27FC236}">
              <a16:creationId xmlns:a16="http://schemas.microsoft.com/office/drawing/2014/main" id="{00000000-0008-0000-1900-000031FE2600}"/>
            </a:ext>
          </a:extLst>
        </xdr:cNvPr>
        <xdr:cNvSpPr>
          <a:spLocks noChangeShapeType="1"/>
        </xdr:cNvSpPr>
      </xdr:nvSpPr>
      <xdr:spPr bwMode="auto">
        <a:xfrm flipV="1">
          <a:off x="5461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9</xdr:col>
      <xdr:colOff>0</xdr:colOff>
      <xdr:row>4</xdr:row>
      <xdr:rowOff>0</xdr:rowOff>
    </xdr:from>
    <xdr:to>
      <xdr:col>10</xdr:col>
      <xdr:colOff>0</xdr:colOff>
      <xdr:row>5</xdr:row>
      <xdr:rowOff>0</xdr:rowOff>
    </xdr:to>
    <xdr:sp macro="" textlink="">
      <xdr:nvSpPr>
        <xdr:cNvPr id="2555442" name="Line 44">
          <a:extLst>
            <a:ext uri="{FF2B5EF4-FFF2-40B4-BE49-F238E27FC236}">
              <a16:creationId xmlns:a16="http://schemas.microsoft.com/office/drawing/2014/main" id="{00000000-0008-0000-1900-000032FE2600}"/>
            </a:ext>
          </a:extLst>
        </xdr:cNvPr>
        <xdr:cNvSpPr>
          <a:spLocks noChangeShapeType="1"/>
        </xdr:cNvSpPr>
      </xdr:nvSpPr>
      <xdr:spPr bwMode="auto">
        <a:xfrm>
          <a:off x="6070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9</xdr:col>
      <xdr:colOff>0</xdr:colOff>
      <xdr:row>4</xdr:row>
      <xdr:rowOff>0</xdr:rowOff>
    </xdr:from>
    <xdr:to>
      <xdr:col>10</xdr:col>
      <xdr:colOff>0</xdr:colOff>
      <xdr:row>5</xdr:row>
      <xdr:rowOff>0</xdr:rowOff>
    </xdr:to>
    <xdr:sp macro="" textlink="">
      <xdr:nvSpPr>
        <xdr:cNvPr id="2555443" name="Line 45">
          <a:extLst>
            <a:ext uri="{FF2B5EF4-FFF2-40B4-BE49-F238E27FC236}">
              <a16:creationId xmlns:a16="http://schemas.microsoft.com/office/drawing/2014/main" id="{00000000-0008-0000-1900-000033FE2600}"/>
            </a:ext>
          </a:extLst>
        </xdr:cNvPr>
        <xdr:cNvSpPr>
          <a:spLocks noChangeShapeType="1"/>
        </xdr:cNvSpPr>
      </xdr:nvSpPr>
      <xdr:spPr bwMode="auto">
        <a:xfrm flipV="1">
          <a:off x="6070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17</xdr:col>
      <xdr:colOff>0</xdr:colOff>
      <xdr:row>4</xdr:row>
      <xdr:rowOff>0</xdr:rowOff>
    </xdr:from>
    <xdr:to>
      <xdr:col>18</xdr:col>
      <xdr:colOff>0</xdr:colOff>
      <xdr:row>5</xdr:row>
      <xdr:rowOff>0</xdr:rowOff>
    </xdr:to>
    <xdr:sp macro="" textlink="">
      <xdr:nvSpPr>
        <xdr:cNvPr id="2555444" name="Line 48">
          <a:extLst>
            <a:ext uri="{FF2B5EF4-FFF2-40B4-BE49-F238E27FC236}">
              <a16:creationId xmlns:a16="http://schemas.microsoft.com/office/drawing/2014/main" id="{00000000-0008-0000-1900-000034FE2600}"/>
            </a:ext>
          </a:extLst>
        </xdr:cNvPr>
        <xdr:cNvSpPr>
          <a:spLocks noChangeShapeType="1"/>
        </xdr:cNvSpPr>
      </xdr:nvSpPr>
      <xdr:spPr bwMode="auto">
        <a:xfrm>
          <a:off x="109474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17</xdr:col>
      <xdr:colOff>0</xdr:colOff>
      <xdr:row>4</xdr:row>
      <xdr:rowOff>0</xdr:rowOff>
    </xdr:from>
    <xdr:to>
      <xdr:col>18</xdr:col>
      <xdr:colOff>0</xdr:colOff>
      <xdr:row>5</xdr:row>
      <xdr:rowOff>0</xdr:rowOff>
    </xdr:to>
    <xdr:sp macro="" textlink="">
      <xdr:nvSpPr>
        <xdr:cNvPr id="2555445" name="Line 49">
          <a:extLst>
            <a:ext uri="{FF2B5EF4-FFF2-40B4-BE49-F238E27FC236}">
              <a16:creationId xmlns:a16="http://schemas.microsoft.com/office/drawing/2014/main" id="{00000000-0008-0000-1900-000035FE2600}"/>
            </a:ext>
          </a:extLst>
        </xdr:cNvPr>
        <xdr:cNvSpPr>
          <a:spLocks noChangeShapeType="1"/>
        </xdr:cNvSpPr>
      </xdr:nvSpPr>
      <xdr:spPr bwMode="auto">
        <a:xfrm flipV="1">
          <a:off x="109474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18</xdr:col>
      <xdr:colOff>0</xdr:colOff>
      <xdr:row>4</xdr:row>
      <xdr:rowOff>0</xdr:rowOff>
    </xdr:from>
    <xdr:to>
      <xdr:col>18</xdr:col>
      <xdr:colOff>0</xdr:colOff>
      <xdr:row>5</xdr:row>
      <xdr:rowOff>0</xdr:rowOff>
    </xdr:to>
    <xdr:sp macro="" textlink="">
      <xdr:nvSpPr>
        <xdr:cNvPr id="2555446" name="Line 50">
          <a:extLst>
            <a:ext uri="{FF2B5EF4-FFF2-40B4-BE49-F238E27FC236}">
              <a16:creationId xmlns:a16="http://schemas.microsoft.com/office/drawing/2014/main" id="{00000000-0008-0000-1900-000036FE2600}"/>
            </a:ext>
          </a:extLst>
        </xdr:cNvPr>
        <xdr:cNvSpPr>
          <a:spLocks noChangeShapeType="1"/>
        </xdr:cNvSpPr>
      </xdr:nvSpPr>
      <xdr:spPr bwMode="auto">
        <a:xfrm>
          <a:off x="11557000" y="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18</xdr:col>
      <xdr:colOff>0</xdr:colOff>
      <xdr:row>4</xdr:row>
      <xdr:rowOff>0</xdr:rowOff>
    </xdr:from>
    <xdr:to>
      <xdr:col>18</xdr:col>
      <xdr:colOff>0</xdr:colOff>
      <xdr:row>5</xdr:row>
      <xdr:rowOff>0</xdr:rowOff>
    </xdr:to>
    <xdr:sp macro="" textlink="">
      <xdr:nvSpPr>
        <xdr:cNvPr id="2555447" name="Line 51">
          <a:extLst>
            <a:ext uri="{FF2B5EF4-FFF2-40B4-BE49-F238E27FC236}">
              <a16:creationId xmlns:a16="http://schemas.microsoft.com/office/drawing/2014/main" id="{00000000-0008-0000-1900-000037FE2600}"/>
            </a:ext>
          </a:extLst>
        </xdr:cNvPr>
        <xdr:cNvSpPr>
          <a:spLocks noChangeShapeType="1"/>
        </xdr:cNvSpPr>
      </xdr:nvSpPr>
      <xdr:spPr bwMode="auto">
        <a:xfrm flipV="1">
          <a:off x="11557000" y="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14</xdr:col>
      <xdr:colOff>0</xdr:colOff>
      <xdr:row>4</xdr:row>
      <xdr:rowOff>0</xdr:rowOff>
    </xdr:from>
    <xdr:to>
      <xdr:col>15</xdr:col>
      <xdr:colOff>0</xdr:colOff>
      <xdr:row>5</xdr:row>
      <xdr:rowOff>0</xdr:rowOff>
    </xdr:to>
    <xdr:sp macro="" textlink="">
      <xdr:nvSpPr>
        <xdr:cNvPr id="2555448" name="Line 56">
          <a:extLst>
            <a:ext uri="{FF2B5EF4-FFF2-40B4-BE49-F238E27FC236}">
              <a16:creationId xmlns:a16="http://schemas.microsoft.com/office/drawing/2014/main" id="{00000000-0008-0000-1900-000038FE2600}"/>
            </a:ext>
          </a:extLst>
        </xdr:cNvPr>
        <xdr:cNvSpPr>
          <a:spLocks noChangeShapeType="1"/>
        </xdr:cNvSpPr>
      </xdr:nvSpPr>
      <xdr:spPr bwMode="auto">
        <a:xfrm>
          <a:off x="9118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14</xdr:col>
      <xdr:colOff>0</xdr:colOff>
      <xdr:row>4</xdr:row>
      <xdr:rowOff>0</xdr:rowOff>
    </xdr:from>
    <xdr:to>
      <xdr:col>15</xdr:col>
      <xdr:colOff>0</xdr:colOff>
      <xdr:row>5</xdr:row>
      <xdr:rowOff>0</xdr:rowOff>
    </xdr:to>
    <xdr:sp macro="" textlink="">
      <xdr:nvSpPr>
        <xdr:cNvPr id="2555449" name="Line 57">
          <a:extLst>
            <a:ext uri="{FF2B5EF4-FFF2-40B4-BE49-F238E27FC236}">
              <a16:creationId xmlns:a16="http://schemas.microsoft.com/office/drawing/2014/main" id="{00000000-0008-0000-1900-000039FE2600}"/>
            </a:ext>
          </a:extLst>
        </xdr:cNvPr>
        <xdr:cNvSpPr>
          <a:spLocks noChangeShapeType="1"/>
        </xdr:cNvSpPr>
      </xdr:nvSpPr>
      <xdr:spPr bwMode="auto">
        <a:xfrm flipV="1">
          <a:off x="9118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18</xdr:col>
      <xdr:colOff>0</xdr:colOff>
      <xdr:row>4</xdr:row>
      <xdr:rowOff>0</xdr:rowOff>
    </xdr:from>
    <xdr:to>
      <xdr:col>19</xdr:col>
      <xdr:colOff>0</xdr:colOff>
      <xdr:row>5</xdr:row>
      <xdr:rowOff>0</xdr:rowOff>
    </xdr:to>
    <xdr:sp macro="" textlink="">
      <xdr:nvSpPr>
        <xdr:cNvPr id="2555450" name="Line 58">
          <a:extLst>
            <a:ext uri="{FF2B5EF4-FFF2-40B4-BE49-F238E27FC236}">
              <a16:creationId xmlns:a16="http://schemas.microsoft.com/office/drawing/2014/main" id="{00000000-0008-0000-1900-00003AFE2600}"/>
            </a:ext>
          </a:extLst>
        </xdr:cNvPr>
        <xdr:cNvSpPr>
          <a:spLocks noChangeShapeType="1"/>
        </xdr:cNvSpPr>
      </xdr:nvSpPr>
      <xdr:spPr bwMode="auto">
        <a:xfrm>
          <a:off x="11557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18</xdr:col>
      <xdr:colOff>0</xdr:colOff>
      <xdr:row>4</xdr:row>
      <xdr:rowOff>0</xdr:rowOff>
    </xdr:from>
    <xdr:to>
      <xdr:col>19</xdr:col>
      <xdr:colOff>0</xdr:colOff>
      <xdr:row>5</xdr:row>
      <xdr:rowOff>0</xdr:rowOff>
    </xdr:to>
    <xdr:sp macro="" textlink="">
      <xdr:nvSpPr>
        <xdr:cNvPr id="2555451" name="Line 59">
          <a:extLst>
            <a:ext uri="{FF2B5EF4-FFF2-40B4-BE49-F238E27FC236}">
              <a16:creationId xmlns:a16="http://schemas.microsoft.com/office/drawing/2014/main" id="{00000000-0008-0000-1900-00003BFE2600}"/>
            </a:ext>
          </a:extLst>
        </xdr:cNvPr>
        <xdr:cNvSpPr>
          <a:spLocks noChangeShapeType="1"/>
        </xdr:cNvSpPr>
      </xdr:nvSpPr>
      <xdr:spPr bwMode="auto">
        <a:xfrm flipV="1">
          <a:off x="11557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19</xdr:col>
      <xdr:colOff>0</xdr:colOff>
      <xdr:row>4</xdr:row>
      <xdr:rowOff>0</xdr:rowOff>
    </xdr:from>
    <xdr:to>
      <xdr:col>20</xdr:col>
      <xdr:colOff>0</xdr:colOff>
      <xdr:row>5</xdr:row>
      <xdr:rowOff>0</xdr:rowOff>
    </xdr:to>
    <xdr:sp macro="" textlink="">
      <xdr:nvSpPr>
        <xdr:cNvPr id="2555452" name="Line 60">
          <a:extLst>
            <a:ext uri="{FF2B5EF4-FFF2-40B4-BE49-F238E27FC236}">
              <a16:creationId xmlns:a16="http://schemas.microsoft.com/office/drawing/2014/main" id="{00000000-0008-0000-1900-00003CFE2600}"/>
            </a:ext>
          </a:extLst>
        </xdr:cNvPr>
        <xdr:cNvSpPr>
          <a:spLocks noChangeShapeType="1"/>
        </xdr:cNvSpPr>
      </xdr:nvSpPr>
      <xdr:spPr bwMode="auto">
        <a:xfrm>
          <a:off x="12166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19</xdr:col>
      <xdr:colOff>0</xdr:colOff>
      <xdr:row>4</xdr:row>
      <xdr:rowOff>0</xdr:rowOff>
    </xdr:from>
    <xdr:to>
      <xdr:col>20</xdr:col>
      <xdr:colOff>0</xdr:colOff>
      <xdr:row>5</xdr:row>
      <xdr:rowOff>0</xdr:rowOff>
    </xdr:to>
    <xdr:sp macro="" textlink="">
      <xdr:nvSpPr>
        <xdr:cNvPr id="2555453" name="Line 61">
          <a:extLst>
            <a:ext uri="{FF2B5EF4-FFF2-40B4-BE49-F238E27FC236}">
              <a16:creationId xmlns:a16="http://schemas.microsoft.com/office/drawing/2014/main" id="{00000000-0008-0000-1900-00003DFE2600}"/>
            </a:ext>
          </a:extLst>
        </xdr:cNvPr>
        <xdr:cNvSpPr>
          <a:spLocks noChangeShapeType="1"/>
        </xdr:cNvSpPr>
      </xdr:nvSpPr>
      <xdr:spPr bwMode="auto">
        <a:xfrm flipV="1">
          <a:off x="12166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7</xdr:col>
      <xdr:colOff>0</xdr:colOff>
      <xdr:row>5</xdr:row>
      <xdr:rowOff>0</xdr:rowOff>
    </xdr:from>
    <xdr:to>
      <xdr:col>8</xdr:col>
      <xdr:colOff>0</xdr:colOff>
      <xdr:row>6</xdr:row>
      <xdr:rowOff>0</xdr:rowOff>
    </xdr:to>
    <xdr:sp macro="" textlink="">
      <xdr:nvSpPr>
        <xdr:cNvPr id="2555454" name="Line 62">
          <a:extLst>
            <a:ext uri="{FF2B5EF4-FFF2-40B4-BE49-F238E27FC236}">
              <a16:creationId xmlns:a16="http://schemas.microsoft.com/office/drawing/2014/main" id="{00000000-0008-0000-1900-00003EFE2600}"/>
            </a:ext>
          </a:extLst>
        </xdr:cNvPr>
        <xdr:cNvSpPr>
          <a:spLocks noChangeShapeType="1"/>
        </xdr:cNvSpPr>
      </xdr:nvSpPr>
      <xdr:spPr bwMode="auto">
        <a:xfrm>
          <a:off x="48514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7</xdr:col>
      <xdr:colOff>0</xdr:colOff>
      <xdr:row>5</xdr:row>
      <xdr:rowOff>0</xdr:rowOff>
    </xdr:from>
    <xdr:to>
      <xdr:col>8</xdr:col>
      <xdr:colOff>0</xdr:colOff>
      <xdr:row>6</xdr:row>
      <xdr:rowOff>0</xdr:rowOff>
    </xdr:to>
    <xdr:sp macro="" textlink="">
      <xdr:nvSpPr>
        <xdr:cNvPr id="2555455" name="Line 63">
          <a:extLst>
            <a:ext uri="{FF2B5EF4-FFF2-40B4-BE49-F238E27FC236}">
              <a16:creationId xmlns:a16="http://schemas.microsoft.com/office/drawing/2014/main" id="{00000000-0008-0000-1900-00003FFE2600}"/>
            </a:ext>
          </a:extLst>
        </xdr:cNvPr>
        <xdr:cNvSpPr>
          <a:spLocks noChangeShapeType="1"/>
        </xdr:cNvSpPr>
      </xdr:nvSpPr>
      <xdr:spPr bwMode="auto">
        <a:xfrm flipV="1">
          <a:off x="48514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7</xdr:col>
      <xdr:colOff>0</xdr:colOff>
      <xdr:row>4</xdr:row>
      <xdr:rowOff>0</xdr:rowOff>
    </xdr:from>
    <xdr:to>
      <xdr:col>8</xdr:col>
      <xdr:colOff>0</xdr:colOff>
      <xdr:row>5</xdr:row>
      <xdr:rowOff>0</xdr:rowOff>
    </xdr:to>
    <xdr:sp macro="" textlink="">
      <xdr:nvSpPr>
        <xdr:cNvPr id="2555456" name="Line 64">
          <a:extLst>
            <a:ext uri="{FF2B5EF4-FFF2-40B4-BE49-F238E27FC236}">
              <a16:creationId xmlns:a16="http://schemas.microsoft.com/office/drawing/2014/main" id="{00000000-0008-0000-1900-000040FE2600}"/>
            </a:ext>
          </a:extLst>
        </xdr:cNvPr>
        <xdr:cNvSpPr>
          <a:spLocks noChangeShapeType="1"/>
        </xdr:cNvSpPr>
      </xdr:nvSpPr>
      <xdr:spPr bwMode="auto">
        <a:xfrm>
          <a:off x="48514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7</xdr:col>
      <xdr:colOff>0</xdr:colOff>
      <xdr:row>4</xdr:row>
      <xdr:rowOff>0</xdr:rowOff>
    </xdr:from>
    <xdr:to>
      <xdr:col>8</xdr:col>
      <xdr:colOff>0</xdr:colOff>
      <xdr:row>5</xdr:row>
      <xdr:rowOff>0</xdr:rowOff>
    </xdr:to>
    <xdr:sp macro="" textlink="">
      <xdr:nvSpPr>
        <xdr:cNvPr id="2555457" name="Line 65">
          <a:extLst>
            <a:ext uri="{FF2B5EF4-FFF2-40B4-BE49-F238E27FC236}">
              <a16:creationId xmlns:a16="http://schemas.microsoft.com/office/drawing/2014/main" id="{00000000-0008-0000-1900-000041FE2600}"/>
            </a:ext>
          </a:extLst>
        </xdr:cNvPr>
        <xdr:cNvSpPr>
          <a:spLocks noChangeShapeType="1"/>
        </xdr:cNvSpPr>
      </xdr:nvSpPr>
      <xdr:spPr bwMode="auto">
        <a:xfrm flipV="1">
          <a:off x="48514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20</xdr:col>
      <xdr:colOff>0</xdr:colOff>
      <xdr:row>22</xdr:row>
      <xdr:rowOff>0</xdr:rowOff>
    </xdr:from>
    <xdr:to>
      <xdr:col>20</xdr:col>
      <xdr:colOff>571500</xdr:colOff>
      <xdr:row>22</xdr:row>
      <xdr:rowOff>0</xdr:rowOff>
    </xdr:to>
    <xdr:sp macro="" textlink="">
      <xdr:nvSpPr>
        <xdr:cNvPr id="2555458" name="Line 71">
          <a:extLst>
            <a:ext uri="{FF2B5EF4-FFF2-40B4-BE49-F238E27FC236}">
              <a16:creationId xmlns:a16="http://schemas.microsoft.com/office/drawing/2014/main" id="{00000000-0008-0000-1900-000042FE2600}"/>
            </a:ext>
          </a:extLst>
        </xdr:cNvPr>
        <xdr:cNvSpPr>
          <a:spLocks noChangeShapeType="1"/>
        </xdr:cNvSpPr>
      </xdr:nvSpPr>
      <xdr:spPr bwMode="auto">
        <a:xfrm flipH="1">
          <a:off x="12776200" y="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20</xdr:col>
      <xdr:colOff>0</xdr:colOff>
      <xdr:row>4</xdr:row>
      <xdr:rowOff>0</xdr:rowOff>
    </xdr:from>
    <xdr:to>
      <xdr:col>21</xdr:col>
      <xdr:colOff>0</xdr:colOff>
      <xdr:row>5</xdr:row>
      <xdr:rowOff>0</xdr:rowOff>
    </xdr:to>
    <xdr:sp macro="" textlink="">
      <xdr:nvSpPr>
        <xdr:cNvPr id="2555459" name="Line 72">
          <a:extLst>
            <a:ext uri="{FF2B5EF4-FFF2-40B4-BE49-F238E27FC236}">
              <a16:creationId xmlns:a16="http://schemas.microsoft.com/office/drawing/2014/main" id="{00000000-0008-0000-1900-000043FE2600}"/>
            </a:ext>
          </a:extLst>
        </xdr:cNvPr>
        <xdr:cNvSpPr>
          <a:spLocks noChangeShapeType="1"/>
        </xdr:cNvSpPr>
      </xdr:nvSpPr>
      <xdr:spPr bwMode="auto">
        <a:xfrm>
          <a:off x="12776200" y="0"/>
          <a:ext cx="6858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20</xdr:col>
      <xdr:colOff>0</xdr:colOff>
      <xdr:row>4</xdr:row>
      <xdr:rowOff>0</xdr:rowOff>
    </xdr:from>
    <xdr:to>
      <xdr:col>21</xdr:col>
      <xdr:colOff>0</xdr:colOff>
      <xdr:row>5</xdr:row>
      <xdr:rowOff>0</xdr:rowOff>
    </xdr:to>
    <xdr:sp macro="" textlink="">
      <xdr:nvSpPr>
        <xdr:cNvPr id="2555460" name="Line 73">
          <a:extLst>
            <a:ext uri="{FF2B5EF4-FFF2-40B4-BE49-F238E27FC236}">
              <a16:creationId xmlns:a16="http://schemas.microsoft.com/office/drawing/2014/main" id="{00000000-0008-0000-1900-000044FE2600}"/>
            </a:ext>
          </a:extLst>
        </xdr:cNvPr>
        <xdr:cNvSpPr>
          <a:spLocks noChangeShapeType="1"/>
        </xdr:cNvSpPr>
      </xdr:nvSpPr>
      <xdr:spPr bwMode="auto">
        <a:xfrm flipV="1">
          <a:off x="12776200" y="0"/>
          <a:ext cx="6858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21</xdr:col>
      <xdr:colOff>0</xdr:colOff>
      <xdr:row>4</xdr:row>
      <xdr:rowOff>0</xdr:rowOff>
    </xdr:from>
    <xdr:to>
      <xdr:col>22</xdr:col>
      <xdr:colOff>0</xdr:colOff>
      <xdr:row>5</xdr:row>
      <xdr:rowOff>0</xdr:rowOff>
    </xdr:to>
    <xdr:sp macro="" textlink="">
      <xdr:nvSpPr>
        <xdr:cNvPr id="2555461" name="Line 74">
          <a:extLst>
            <a:ext uri="{FF2B5EF4-FFF2-40B4-BE49-F238E27FC236}">
              <a16:creationId xmlns:a16="http://schemas.microsoft.com/office/drawing/2014/main" id="{00000000-0008-0000-1900-000045FE2600}"/>
            </a:ext>
          </a:extLst>
        </xdr:cNvPr>
        <xdr:cNvSpPr>
          <a:spLocks noChangeShapeType="1"/>
        </xdr:cNvSpPr>
      </xdr:nvSpPr>
      <xdr:spPr bwMode="auto">
        <a:xfrm>
          <a:off x="13462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21</xdr:col>
      <xdr:colOff>0</xdr:colOff>
      <xdr:row>4</xdr:row>
      <xdr:rowOff>0</xdr:rowOff>
    </xdr:from>
    <xdr:to>
      <xdr:col>22</xdr:col>
      <xdr:colOff>0</xdr:colOff>
      <xdr:row>5</xdr:row>
      <xdr:rowOff>0</xdr:rowOff>
    </xdr:to>
    <xdr:sp macro="" textlink="">
      <xdr:nvSpPr>
        <xdr:cNvPr id="2555462" name="Line 75">
          <a:extLst>
            <a:ext uri="{FF2B5EF4-FFF2-40B4-BE49-F238E27FC236}">
              <a16:creationId xmlns:a16="http://schemas.microsoft.com/office/drawing/2014/main" id="{00000000-0008-0000-1900-000046FE2600}"/>
            </a:ext>
          </a:extLst>
        </xdr:cNvPr>
        <xdr:cNvSpPr>
          <a:spLocks noChangeShapeType="1"/>
        </xdr:cNvSpPr>
      </xdr:nvSpPr>
      <xdr:spPr bwMode="auto">
        <a:xfrm flipV="1">
          <a:off x="13462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22</xdr:col>
      <xdr:colOff>0</xdr:colOff>
      <xdr:row>4</xdr:row>
      <xdr:rowOff>0</xdr:rowOff>
    </xdr:from>
    <xdr:to>
      <xdr:col>23</xdr:col>
      <xdr:colOff>0</xdr:colOff>
      <xdr:row>5</xdr:row>
      <xdr:rowOff>0</xdr:rowOff>
    </xdr:to>
    <xdr:sp macro="" textlink="">
      <xdr:nvSpPr>
        <xdr:cNvPr id="2555463" name="Line 76">
          <a:extLst>
            <a:ext uri="{FF2B5EF4-FFF2-40B4-BE49-F238E27FC236}">
              <a16:creationId xmlns:a16="http://schemas.microsoft.com/office/drawing/2014/main" id="{00000000-0008-0000-1900-000047FE2600}"/>
            </a:ext>
          </a:extLst>
        </xdr:cNvPr>
        <xdr:cNvSpPr>
          <a:spLocks noChangeShapeType="1"/>
        </xdr:cNvSpPr>
      </xdr:nvSpPr>
      <xdr:spPr bwMode="auto">
        <a:xfrm>
          <a:off x="14071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22</xdr:col>
      <xdr:colOff>0</xdr:colOff>
      <xdr:row>4</xdr:row>
      <xdr:rowOff>0</xdr:rowOff>
    </xdr:from>
    <xdr:to>
      <xdr:col>23</xdr:col>
      <xdr:colOff>0</xdr:colOff>
      <xdr:row>5</xdr:row>
      <xdr:rowOff>0</xdr:rowOff>
    </xdr:to>
    <xdr:sp macro="" textlink="">
      <xdr:nvSpPr>
        <xdr:cNvPr id="2555464" name="Line 77">
          <a:extLst>
            <a:ext uri="{FF2B5EF4-FFF2-40B4-BE49-F238E27FC236}">
              <a16:creationId xmlns:a16="http://schemas.microsoft.com/office/drawing/2014/main" id="{00000000-0008-0000-1900-000048FE2600}"/>
            </a:ext>
          </a:extLst>
        </xdr:cNvPr>
        <xdr:cNvSpPr>
          <a:spLocks noChangeShapeType="1"/>
        </xdr:cNvSpPr>
      </xdr:nvSpPr>
      <xdr:spPr bwMode="auto">
        <a:xfrm flipV="1">
          <a:off x="14071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21</xdr:col>
      <xdr:colOff>0</xdr:colOff>
      <xdr:row>5</xdr:row>
      <xdr:rowOff>0</xdr:rowOff>
    </xdr:from>
    <xdr:to>
      <xdr:col>22</xdr:col>
      <xdr:colOff>0</xdr:colOff>
      <xdr:row>6</xdr:row>
      <xdr:rowOff>0</xdr:rowOff>
    </xdr:to>
    <xdr:sp macro="" textlink="">
      <xdr:nvSpPr>
        <xdr:cNvPr id="2555465" name="Line 78">
          <a:extLst>
            <a:ext uri="{FF2B5EF4-FFF2-40B4-BE49-F238E27FC236}">
              <a16:creationId xmlns:a16="http://schemas.microsoft.com/office/drawing/2014/main" id="{00000000-0008-0000-1900-000049FE2600}"/>
            </a:ext>
          </a:extLst>
        </xdr:cNvPr>
        <xdr:cNvSpPr>
          <a:spLocks noChangeShapeType="1"/>
        </xdr:cNvSpPr>
      </xdr:nvSpPr>
      <xdr:spPr bwMode="auto">
        <a:xfrm>
          <a:off x="13462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21</xdr:col>
      <xdr:colOff>0</xdr:colOff>
      <xdr:row>5</xdr:row>
      <xdr:rowOff>0</xdr:rowOff>
    </xdr:from>
    <xdr:to>
      <xdr:col>22</xdr:col>
      <xdr:colOff>0</xdr:colOff>
      <xdr:row>6</xdr:row>
      <xdr:rowOff>0</xdr:rowOff>
    </xdr:to>
    <xdr:sp macro="" textlink="">
      <xdr:nvSpPr>
        <xdr:cNvPr id="2555466" name="Line 79">
          <a:extLst>
            <a:ext uri="{FF2B5EF4-FFF2-40B4-BE49-F238E27FC236}">
              <a16:creationId xmlns:a16="http://schemas.microsoft.com/office/drawing/2014/main" id="{00000000-0008-0000-1900-00004AFE2600}"/>
            </a:ext>
          </a:extLst>
        </xdr:cNvPr>
        <xdr:cNvSpPr>
          <a:spLocks noChangeShapeType="1"/>
        </xdr:cNvSpPr>
      </xdr:nvSpPr>
      <xdr:spPr bwMode="auto">
        <a:xfrm flipV="1">
          <a:off x="13462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22</xdr:col>
      <xdr:colOff>0</xdr:colOff>
      <xdr:row>5</xdr:row>
      <xdr:rowOff>0</xdr:rowOff>
    </xdr:from>
    <xdr:to>
      <xdr:col>23</xdr:col>
      <xdr:colOff>0</xdr:colOff>
      <xdr:row>6</xdr:row>
      <xdr:rowOff>0</xdr:rowOff>
    </xdr:to>
    <xdr:sp macro="" textlink="">
      <xdr:nvSpPr>
        <xdr:cNvPr id="2555467" name="Line 80">
          <a:extLst>
            <a:ext uri="{FF2B5EF4-FFF2-40B4-BE49-F238E27FC236}">
              <a16:creationId xmlns:a16="http://schemas.microsoft.com/office/drawing/2014/main" id="{00000000-0008-0000-1900-00004BFE2600}"/>
            </a:ext>
          </a:extLst>
        </xdr:cNvPr>
        <xdr:cNvSpPr>
          <a:spLocks noChangeShapeType="1"/>
        </xdr:cNvSpPr>
      </xdr:nvSpPr>
      <xdr:spPr bwMode="auto">
        <a:xfrm>
          <a:off x="14071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22</xdr:col>
      <xdr:colOff>0</xdr:colOff>
      <xdr:row>5</xdr:row>
      <xdr:rowOff>0</xdr:rowOff>
    </xdr:from>
    <xdr:to>
      <xdr:col>23</xdr:col>
      <xdr:colOff>0</xdr:colOff>
      <xdr:row>6</xdr:row>
      <xdr:rowOff>0</xdr:rowOff>
    </xdr:to>
    <xdr:sp macro="" textlink="">
      <xdr:nvSpPr>
        <xdr:cNvPr id="2555468" name="Line 81">
          <a:extLst>
            <a:ext uri="{FF2B5EF4-FFF2-40B4-BE49-F238E27FC236}">
              <a16:creationId xmlns:a16="http://schemas.microsoft.com/office/drawing/2014/main" id="{00000000-0008-0000-1900-00004CFE2600}"/>
            </a:ext>
          </a:extLst>
        </xdr:cNvPr>
        <xdr:cNvSpPr>
          <a:spLocks noChangeShapeType="1"/>
        </xdr:cNvSpPr>
      </xdr:nvSpPr>
      <xdr:spPr bwMode="auto">
        <a:xfrm flipV="1">
          <a:off x="14071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23</xdr:col>
      <xdr:colOff>0</xdr:colOff>
      <xdr:row>5</xdr:row>
      <xdr:rowOff>0</xdr:rowOff>
    </xdr:from>
    <xdr:to>
      <xdr:col>24</xdr:col>
      <xdr:colOff>0</xdr:colOff>
      <xdr:row>6</xdr:row>
      <xdr:rowOff>0</xdr:rowOff>
    </xdr:to>
    <xdr:sp macro="" textlink="">
      <xdr:nvSpPr>
        <xdr:cNvPr id="2555469" name="Line 82">
          <a:extLst>
            <a:ext uri="{FF2B5EF4-FFF2-40B4-BE49-F238E27FC236}">
              <a16:creationId xmlns:a16="http://schemas.microsoft.com/office/drawing/2014/main" id="{00000000-0008-0000-1900-00004DFE2600}"/>
            </a:ext>
          </a:extLst>
        </xdr:cNvPr>
        <xdr:cNvSpPr>
          <a:spLocks noChangeShapeType="1"/>
        </xdr:cNvSpPr>
      </xdr:nvSpPr>
      <xdr:spPr bwMode="auto">
        <a:xfrm>
          <a:off x="14681200" y="0"/>
          <a:ext cx="5715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23</xdr:col>
      <xdr:colOff>0</xdr:colOff>
      <xdr:row>5</xdr:row>
      <xdr:rowOff>0</xdr:rowOff>
    </xdr:from>
    <xdr:to>
      <xdr:col>24</xdr:col>
      <xdr:colOff>0</xdr:colOff>
      <xdr:row>6</xdr:row>
      <xdr:rowOff>0</xdr:rowOff>
    </xdr:to>
    <xdr:sp macro="" textlink="">
      <xdr:nvSpPr>
        <xdr:cNvPr id="2555470" name="Line 83">
          <a:extLst>
            <a:ext uri="{FF2B5EF4-FFF2-40B4-BE49-F238E27FC236}">
              <a16:creationId xmlns:a16="http://schemas.microsoft.com/office/drawing/2014/main" id="{00000000-0008-0000-1900-00004EFE2600}"/>
            </a:ext>
          </a:extLst>
        </xdr:cNvPr>
        <xdr:cNvSpPr>
          <a:spLocks noChangeShapeType="1"/>
        </xdr:cNvSpPr>
      </xdr:nvSpPr>
      <xdr:spPr bwMode="auto">
        <a:xfrm flipV="1">
          <a:off x="14681200" y="0"/>
          <a:ext cx="5715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24</xdr:col>
      <xdr:colOff>0</xdr:colOff>
      <xdr:row>5</xdr:row>
      <xdr:rowOff>0</xdr:rowOff>
    </xdr:from>
    <xdr:to>
      <xdr:col>25</xdr:col>
      <xdr:colOff>0</xdr:colOff>
      <xdr:row>6</xdr:row>
      <xdr:rowOff>0</xdr:rowOff>
    </xdr:to>
    <xdr:sp macro="" textlink="">
      <xdr:nvSpPr>
        <xdr:cNvPr id="2555471" name="Line 84">
          <a:extLst>
            <a:ext uri="{FF2B5EF4-FFF2-40B4-BE49-F238E27FC236}">
              <a16:creationId xmlns:a16="http://schemas.microsoft.com/office/drawing/2014/main" id="{00000000-0008-0000-1900-00004FFE2600}"/>
            </a:ext>
          </a:extLst>
        </xdr:cNvPr>
        <xdr:cNvSpPr>
          <a:spLocks noChangeShapeType="1"/>
        </xdr:cNvSpPr>
      </xdr:nvSpPr>
      <xdr:spPr bwMode="auto">
        <a:xfrm>
          <a:off x="152527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24</xdr:col>
      <xdr:colOff>0</xdr:colOff>
      <xdr:row>5</xdr:row>
      <xdr:rowOff>0</xdr:rowOff>
    </xdr:from>
    <xdr:to>
      <xdr:col>25</xdr:col>
      <xdr:colOff>0</xdr:colOff>
      <xdr:row>6</xdr:row>
      <xdr:rowOff>0</xdr:rowOff>
    </xdr:to>
    <xdr:sp macro="" textlink="">
      <xdr:nvSpPr>
        <xdr:cNvPr id="2555472" name="Line 85">
          <a:extLst>
            <a:ext uri="{FF2B5EF4-FFF2-40B4-BE49-F238E27FC236}">
              <a16:creationId xmlns:a16="http://schemas.microsoft.com/office/drawing/2014/main" id="{00000000-0008-0000-1900-000050FE2600}"/>
            </a:ext>
          </a:extLst>
        </xdr:cNvPr>
        <xdr:cNvSpPr>
          <a:spLocks noChangeShapeType="1"/>
        </xdr:cNvSpPr>
      </xdr:nvSpPr>
      <xdr:spPr bwMode="auto">
        <a:xfrm flipV="1">
          <a:off x="152527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25</xdr:col>
      <xdr:colOff>254000</xdr:colOff>
      <xdr:row>0</xdr:row>
      <xdr:rowOff>0</xdr:rowOff>
    </xdr:from>
    <xdr:to>
      <xdr:col>32</xdr:col>
      <xdr:colOff>24</xdr:colOff>
      <xdr:row>0</xdr:row>
      <xdr:rowOff>0</xdr:rowOff>
    </xdr:to>
    <xdr:sp macro="" textlink="">
      <xdr:nvSpPr>
        <xdr:cNvPr id="470128" name="Text 86">
          <a:extLst>
            <a:ext uri="{FF2B5EF4-FFF2-40B4-BE49-F238E27FC236}">
              <a16:creationId xmlns:a16="http://schemas.microsoft.com/office/drawing/2014/main" id="{00000000-0008-0000-1900-0000702C0700}"/>
            </a:ext>
          </a:extLst>
        </xdr:cNvPr>
        <xdr:cNvSpPr txBox="1">
          <a:spLocks noChangeArrowheads="1"/>
        </xdr:cNvSpPr>
      </xdr:nvSpPr>
      <xdr:spPr bwMode="auto">
        <a:xfrm>
          <a:off x="16040100" y="812800"/>
          <a:ext cx="5880100" cy="1143000"/>
        </a:xfrm>
        <a:prstGeom prst="rect">
          <a:avLst/>
        </a:prstGeom>
        <a:solidFill>
          <a:srgbClr val="FFFFFF"/>
        </a:solidFill>
        <a:ln w="9525">
          <a:solidFill>
            <a:srgbClr val="FFFFFF"/>
          </a:solidFill>
          <a:miter lim="800000"/>
          <a:headEnd/>
          <a:tailEnd/>
        </a:ln>
      </xdr:spPr>
      <xdr:txBody>
        <a:bodyPr vertOverflow="clip" wrap="square" lIns="27432" tIns="22860" rIns="0" bIns="0" anchor="t" upright="1"/>
        <a:lstStyle/>
        <a:p>
          <a:pPr algn="l" rtl="0">
            <a:defRPr sz="1000"/>
          </a:pPr>
          <a:r>
            <a:rPr lang="de-CH" sz="1000" b="0" i="0" u="none" strike="noStrike" baseline="0">
              <a:solidFill>
                <a:srgbClr val="FFFFFF"/>
              </a:solidFill>
              <a:latin typeface="Arial"/>
              <a:cs typeface="Arial"/>
            </a:rPr>
            <a:t>Die beiden letzten Spalten  "+/- Soll/Ist"  sowie  "Jahresarbeitszeit kumuliert" sind neu.</a:t>
          </a:r>
        </a:p>
        <a:p>
          <a:pPr algn="l" rtl="0">
            <a:defRPr sz="1000"/>
          </a:pPr>
          <a:r>
            <a:rPr lang="de-CH" sz="1000" b="0" i="0" u="none" strike="noStrike" baseline="0">
              <a:solidFill>
                <a:srgbClr val="FFFFFF"/>
              </a:solidFill>
              <a:latin typeface="Arial"/>
              <a:cs typeface="Arial"/>
            </a:rPr>
            <a:t>"+/- Soll/Ist" zeigt die monatliche Differenz zwischen Soll und Ist an</a:t>
          </a:r>
        </a:p>
        <a:p>
          <a:pPr algn="l" rtl="0">
            <a:defRPr sz="1000"/>
          </a:pPr>
          <a:r>
            <a:rPr lang="de-CH" sz="1000" b="0" i="0" u="none" strike="noStrike" baseline="0">
              <a:solidFill>
                <a:srgbClr val="FFFFFF"/>
              </a:solidFill>
              <a:latin typeface="Arial"/>
              <a:cs typeface="Arial"/>
            </a:rPr>
            <a:t>"Jahresarbeitszeit kumuliert" beginnt mit der total zu leistenden Jahresarbeitszeit und zieht Monat für Monat die geleistete Arbeitszeit (IST) ab, sodass am Jahresende Null stehen müsste. Eine negative Zahl zeigt an, dass mehr als die geforderte Jahresarbeitszeit geleistet worden ist.</a:t>
          </a:r>
        </a:p>
      </xdr:txBody>
    </xdr:sp>
    <xdr:clientData/>
  </xdr:twoCellAnchor>
  <xdr:twoCellAnchor>
    <xdr:from>
      <xdr:col>23</xdr:col>
      <xdr:colOff>0</xdr:colOff>
      <xdr:row>4</xdr:row>
      <xdr:rowOff>0</xdr:rowOff>
    </xdr:from>
    <xdr:to>
      <xdr:col>24</xdr:col>
      <xdr:colOff>0</xdr:colOff>
      <xdr:row>5</xdr:row>
      <xdr:rowOff>0</xdr:rowOff>
    </xdr:to>
    <xdr:sp macro="" textlink="">
      <xdr:nvSpPr>
        <xdr:cNvPr id="2555474" name="Line 87">
          <a:extLst>
            <a:ext uri="{FF2B5EF4-FFF2-40B4-BE49-F238E27FC236}">
              <a16:creationId xmlns:a16="http://schemas.microsoft.com/office/drawing/2014/main" id="{00000000-0008-0000-1900-000052FE2600}"/>
            </a:ext>
          </a:extLst>
        </xdr:cNvPr>
        <xdr:cNvSpPr>
          <a:spLocks noChangeShapeType="1"/>
        </xdr:cNvSpPr>
      </xdr:nvSpPr>
      <xdr:spPr bwMode="auto">
        <a:xfrm flipV="1">
          <a:off x="14681200" y="0"/>
          <a:ext cx="5715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23</xdr:col>
      <xdr:colOff>0</xdr:colOff>
      <xdr:row>4</xdr:row>
      <xdr:rowOff>0</xdr:rowOff>
    </xdr:from>
    <xdr:to>
      <xdr:col>24</xdr:col>
      <xdr:colOff>0</xdr:colOff>
      <xdr:row>4</xdr:row>
      <xdr:rowOff>0</xdr:rowOff>
    </xdr:to>
    <xdr:sp macro="" textlink="">
      <xdr:nvSpPr>
        <xdr:cNvPr id="2555475" name="Line 89">
          <a:extLst>
            <a:ext uri="{FF2B5EF4-FFF2-40B4-BE49-F238E27FC236}">
              <a16:creationId xmlns:a16="http://schemas.microsoft.com/office/drawing/2014/main" id="{00000000-0008-0000-1900-000053FE2600}"/>
            </a:ext>
          </a:extLst>
        </xdr:cNvPr>
        <xdr:cNvSpPr>
          <a:spLocks noChangeShapeType="1"/>
        </xdr:cNvSpPr>
      </xdr:nvSpPr>
      <xdr:spPr bwMode="auto">
        <a:xfrm>
          <a:off x="14681200" y="0"/>
          <a:ext cx="5715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23</xdr:col>
      <xdr:colOff>12700</xdr:colOff>
      <xdr:row>4</xdr:row>
      <xdr:rowOff>12700</xdr:rowOff>
    </xdr:from>
    <xdr:to>
      <xdr:col>24</xdr:col>
      <xdr:colOff>0</xdr:colOff>
      <xdr:row>5</xdr:row>
      <xdr:rowOff>0</xdr:rowOff>
    </xdr:to>
    <xdr:sp macro="" textlink="">
      <xdr:nvSpPr>
        <xdr:cNvPr id="2555476" name="Line 90">
          <a:extLst>
            <a:ext uri="{FF2B5EF4-FFF2-40B4-BE49-F238E27FC236}">
              <a16:creationId xmlns:a16="http://schemas.microsoft.com/office/drawing/2014/main" id="{00000000-0008-0000-1900-000054FE2600}"/>
            </a:ext>
          </a:extLst>
        </xdr:cNvPr>
        <xdr:cNvSpPr>
          <a:spLocks noChangeShapeType="1"/>
        </xdr:cNvSpPr>
      </xdr:nvSpPr>
      <xdr:spPr bwMode="auto">
        <a:xfrm>
          <a:off x="14693900" y="0"/>
          <a:ext cx="5588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4</xdr:col>
      <xdr:colOff>0</xdr:colOff>
      <xdr:row>5</xdr:row>
      <xdr:rowOff>0</xdr:rowOff>
    </xdr:from>
    <xdr:to>
      <xdr:col>5</xdr:col>
      <xdr:colOff>0</xdr:colOff>
      <xdr:row>6</xdr:row>
      <xdr:rowOff>0</xdr:rowOff>
    </xdr:to>
    <xdr:sp macro="" textlink="">
      <xdr:nvSpPr>
        <xdr:cNvPr id="2555477" name="Line 91">
          <a:extLst>
            <a:ext uri="{FF2B5EF4-FFF2-40B4-BE49-F238E27FC236}">
              <a16:creationId xmlns:a16="http://schemas.microsoft.com/office/drawing/2014/main" id="{00000000-0008-0000-1900-000055FE2600}"/>
            </a:ext>
          </a:extLst>
        </xdr:cNvPr>
        <xdr:cNvSpPr>
          <a:spLocks noChangeShapeType="1"/>
        </xdr:cNvSpPr>
      </xdr:nvSpPr>
      <xdr:spPr bwMode="auto">
        <a:xfrm>
          <a:off x="3022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4</xdr:col>
      <xdr:colOff>0</xdr:colOff>
      <xdr:row>5</xdr:row>
      <xdr:rowOff>0</xdr:rowOff>
    </xdr:from>
    <xdr:to>
      <xdr:col>5</xdr:col>
      <xdr:colOff>0</xdr:colOff>
      <xdr:row>6</xdr:row>
      <xdr:rowOff>0</xdr:rowOff>
    </xdr:to>
    <xdr:sp macro="" textlink="">
      <xdr:nvSpPr>
        <xdr:cNvPr id="2555478" name="Line 92">
          <a:extLst>
            <a:ext uri="{FF2B5EF4-FFF2-40B4-BE49-F238E27FC236}">
              <a16:creationId xmlns:a16="http://schemas.microsoft.com/office/drawing/2014/main" id="{00000000-0008-0000-1900-000056FE2600}"/>
            </a:ext>
          </a:extLst>
        </xdr:cNvPr>
        <xdr:cNvSpPr>
          <a:spLocks noChangeShapeType="1"/>
        </xdr:cNvSpPr>
      </xdr:nvSpPr>
      <xdr:spPr bwMode="auto">
        <a:xfrm flipV="1">
          <a:off x="3022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4</xdr:col>
      <xdr:colOff>0</xdr:colOff>
      <xdr:row>4</xdr:row>
      <xdr:rowOff>0</xdr:rowOff>
    </xdr:from>
    <xdr:to>
      <xdr:col>5</xdr:col>
      <xdr:colOff>0</xdr:colOff>
      <xdr:row>5</xdr:row>
      <xdr:rowOff>0</xdr:rowOff>
    </xdr:to>
    <xdr:sp macro="" textlink="">
      <xdr:nvSpPr>
        <xdr:cNvPr id="2555479" name="Line 93">
          <a:extLst>
            <a:ext uri="{FF2B5EF4-FFF2-40B4-BE49-F238E27FC236}">
              <a16:creationId xmlns:a16="http://schemas.microsoft.com/office/drawing/2014/main" id="{00000000-0008-0000-1900-000057FE2600}"/>
            </a:ext>
          </a:extLst>
        </xdr:cNvPr>
        <xdr:cNvSpPr>
          <a:spLocks noChangeShapeType="1"/>
        </xdr:cNvSpPr>
      </xdr:nvSpPr>
      <xdr:spPr bwMode="auto">
        <a:xfrm>
          <a:off x="3022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4</xdr:col>
      <xdr:colOff>0</xdr:colOff>
      <xdr:row>4</xdr:row>
      <xdr:rowOff>0</xdr:rowOff>
    </xdr:from>
    <xdr:to>
      <xdr:col>5</xdr:col>
      <xdr:colOff>0</xdr:colOff>
      <xdr:row>5</xdr:row>
      <xdr:rowOff>0</xdr:rowOff>
    </xdr:to>
    <xdr:sp macro="" textlink="">
      <xdr:nvSpPr>
        <xdr:cNvPr id="2555480" name="Line 94">
          <a:extLst>
            <a:ext uri="{FF2B5EF4-FFF2-40B4-BE49-F238E27FC236}">
              <a16:creationId xmlns:a16="http://schemas.microsoft.com/office/drawing/2014/main" id="{00000000-0008-0000-1900-000058FE2600}"/>
            </a:ext>
          </a:extLst>
        </xdr:cNvPr>
        <xdr:cNvSpPr>
          <a:spLocks noChangeShapeType="1"/>
        </xdr:cNvSpPr>
      </xdr:nvSpPr>
      <xdr:spPr bwMode="auto">
        <a:xfrm flipV="1">
          <a:off x="3022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10</xdr:col>
      <xdr:colOff>12700</xdr:colOff>
      <xdr:row>0</xdr:row>
      <xdr:rowOff>0</xdr:rowOff>
    </xdr:from>
    <xdr:to>
      <xdr:col>14</xdr:col>
      <xdr:colOff>597060</xdr:colOff>
      <xdr:row>0</xdr:row>
      <xdr:rowOff>0</xdr:rowOff>
    </xdr:to>
    <xdr:sp macro="" textlink="">
      <xdr:nvSpPr>
        <xdr:cNvPr id="1357259" name="Text 47">
          <a:extLst>
            <a:ext uri="{FF2B5EF4-FFF2-40B4-BE49-F238E27FC236}">
              <a16:creationId xmlns:a16="http://schemas.microsoft.com/office/drawing/2014/main" id="{00000000-0008-0000-1A00-0000CBB51400}"/>
            </a:ext>
          </a:extLst>
        </xdr:cNvPr>
        <xdr:cNvSpPr txBox="1">
          <a:spLocks noChangeArrowheads="1"/>
        </xdr:cNvSpPr>
      </xdr:nvSpPr>
      <xdr:spPr bwMode="auto">
        <a:xfrm>
          <a:off x="7594600" y="0"/>
          <a:ext cx="3441700" cy="0"/>
        </a:xfrm>
        <a:prstGeom prst="rect">
          <a:avLst/>
        </a:prstGeom>
        <a:solidFill>
          <a:srgbClr val="FFFFFF"/>
        </a:solidFill>
        <a:ln w="9525">
          <a:solidFill>
            <a:srgbClr val="FFFFFF"/>
          </a:solidFill>
          <a:miter lim="800000"/>
          <a:headEnd/>
          <a:tailEnd/>
        </a:ln>
      </xdr:spPr>
      <xdr:txBody>
        <a:bodyPr vertOverflow="clip" wrap="square" lIns="27432" tIns="27432" rIns="0" bIns="0" anchor="t" upright="1"/>
        <a:lstStyle/>
        <a:p>
          <a:pPr algn="l" rtl="0">
            <a:defRPr sz="1000"/>
          </a:pPr>
          <a:r>
            <a:rPr lang="de-CH" sz="1000" b="1" i="0" u="none" strike="noStrike" baseline="0">
              <a:solidFill>
                <a:srgbClr val="FFFFFF"/>
              </a:solidFill>
              <a:latin typeface="Arial"/>
              <a:cs typeface="Arial"/>
            </a:rPr>
            <a:t>Erläuterungen:</a:t>
          </a:r>
          <a:endParaRPr lang="de-CH" sz="1000" b="0" i="0" u="none" strike="noStrike" baseline="0">
            <a:solidFill>
              <a:srgbClr val="FFFFFF"/>
            </a:solidFill>
            <a:latin typeface="Arial"/>
            <a:cs typeface="Arial"/>
          </a:endParaRPr>
        </a:p>
        <a:p>
          <a:pPr algn="l" rtl="0">
            <a:defRPr sz="1000"/>
          </a:pPr>
          <a:r>
            <a:rPr lang="de-CH" sz="1000" b="0" i="0" u="none" strike="noStrike" baseline="0">
              <a:solidFill>
                <a:srgbClr val="FFFFFF"/>
              </a:solidFill>
              <a:latin typeface="Arial"/>
              <a:cs typeface="Arial"/>
            </a:rPr>
            <a:t>Mit &lt;TAB&gt; Taste von einem blauen Feld zum nächsten springen und bitte die notwendigen Eingaben vornehmen:</a:t>
          </a:r>
        </a:p>
        <a:p>
          <a:pPr algn="l" rtl="0">
            <a:defRPr sz="1000"/>
          </a:pPr>
          <a:endParaRPr lang="de-CH" sz="1000" b="0" i="0" u="none" strike="noStrike" baseline="0">
            <a:solidFill>
              <a:srgbClr val="FFFFFF"/>
            </a:solidFill>
            <a:latin typeface="Arial"/>
            <a:cs typeface="Arial"/>
          </a:endParaRPr>
        </a:p>
        <a:p>
          <a:pPr algn="l" rtl="0">
            <a:defRPr sz="1000"/>
          </a:pPr>
          <a:r>
            <a:rPr lang="de-CH" sz="1000" b="0" i="0" u="none" strike="noStrike" baseline="0">
              <a:solidFill>
                <a:srgbClr val="FFFFFF"/>
              </a:solidFill>
              <a:latin typeface="Arial"/>
              <a:cs typeface="Arial"/>
            </a:rPr>
            <a:t>&lt;CTRL-HOME&gt; führt Sie zum Tabellen-anfang. Gelbe und weisse Felder dienen der Information.</a:t>
          </a:r>
        </a:p>
        <a:p>
          <a:pPr algn="l" rtl="0">
            <a:defRPr sz="1000"/>
          </a:pPr>
          <a:r>
            <a:rPr lang="de-CH" sz="1000" b="0" i="0" u="none" strike="noStrike" baseline="0">
              <a:solidFill>
                <a:srgbClr val="FFFFFF"/>
              </a:solidFill>
              <a:latin typeface="Arial"/>
              <a:cs typeface="Arial"/>
            </a:rPr>
            <a:t>&lt;Page Up&gt; und &lt;Page Down&gt; dienen dem schnellen auf- und abblättern in der Tabelle.</a:t>
          </a:r>
        </a:p>
        <a:p>
          <a:pPr algn="l" rtl="0">
            <a:defRPr sz="1000"/>
          </a:pPr>
          <a:endParaRPr lang="de-CH" sz="1000" b="0" i="0" u="none" strike="noStrike" baseline="0">
            <a:solidFill>
              <a:srgbClr val="FFFFFF"/>
            </a:solidFill>
            <a:latin typeface="Arial"/>
            <a:cs typeface="Arial"/>
          </a:endParaRPr>
        </a:p>
        <a:p>
          <a:pPr algn="l" rtl="0">
            <a:defRPr sz="1000"/>
          </a:pPr>
          <a:r>
            <a:rPr lang="de-CH" sz="1000" b="1" i="0" u="none" strike="noStrike" baseline="0">
              <a:solidFill>
                <a:srgbClr val="FFFFFF"/>
              </a:solidFill>
              <a:latin typeface="Arial"/>
              <a:cs typeface="Arial"/>
            </a:rPr>
            <a:t>Ferienanspruch:</a:t>
          </a:r>
          <a:r>
            <a:rPr lang="de-CH" sz="1000" b="0" i="0" u="none" strike="noStrike" baseline="0">
              <a:solidFill>
                <a:srgbClr val="FFFFFF"/>
              </a:solidFill>
              <a:latin typeface="Arial"/>
              <a:cs typeface="Arial"/>
            </a:rPr>
            <a:t> Für Lehrlinge und diejenigen die noch nicht 20-jährig sind beträgt der Ferienanspruch 5 Wochen (210:00 Stunden). Wert von Hand anpassen, nachdem der Schutz aufgehoben wurde.  </a:t>
          </a:r>
        </a:p>
        <a:p>
          <a:pPr algn="l" rtl="0">
            <a:defRPr sz="1000"/>
          </a:pPr>
          <a:r>
            <a:rPr lang="de-CH" sz="1000" b="0" i="0" u="none" strike="noStrike" baseline="0">
              <a:solidFill>
                <a:srgbClr val="FFFFFF"/>
              </a:solidFill>
              <a:latin typeface="Arial"/>
              <a:cs typeface="Arial"/>
            </a:rPr>
            <a:t>                   </a:t>
          </a:r>
        </a:p>
        <a:p>
          <a:pPr algn="l" rtl="0">
            <a:defRPr sz="1000"/>
          </a:pPr>
          <a:r>
            <a:rPr lang="de-CH" sz="1000" b="1" i="0" u="none" strike="noStrike" baseline="0">
              <a:solidFill>
                <a:srgbClr val="FFFFFF"/>
              </a:solidFill>
              <a:latin typeface="Arial"/>
              <a:cs typeface="Arial"/>
            </a:rPr>
            <a:t>Parameter:</a:t>
          </a:r>
          <a:endParaRPr lang="de-CH" sz="1000" b="0" i="0" u="none" strike="noStrike" baseline="0">
            <a:solidFill>
              <a:srgbClr val="FFFFFF"/>
            </a:solidFill>
            <a:latin typeface="Arial"/>
            <a:cs typeface="Arial"/>
          </a:endParaRPr>
        </a:p>
        <a:p>
          <a:pPr algn="l" rtl="0">
            <a:defRPr sz="1000"/>
          </a:pPr>
          <a:r>
            <a:rPr lang="de-CH" sz="1000" b="1" i="0" u="none" strike="noStrike" baseline="0">
              <a:solidFill>
                <a:srgbClr val="FFFFFF"/>
              </a:solidFill>
              <a:latin typeface="Arial"/>
              <a:cs typeface="Arial"/>
            </a:rPr>
            <a:t>Berechnungsdatum bis ...</a:t>
          </a:r>
          <a:endParaRPr lang="de-CH" sz="1000" b="0" i="0" u="none" strike="noStrike" baseline="0">
            <a:solidFill>
              <a:srgbClr val="FFFFFF"/>
            </a:solidFill>
            <a:latin typeface="Arial"/>
            <a:cs typeface="Arial"/>
          </a:endParaRPr>
        </a:p>
        <a:p>
          <a:pPr algn="l" rtl="0">
            <a:defRPr sz="1000"/>
          </a:pPr>
          <a:r>
            <a:rPr lang="de-CH" sz="1000" b="0" i="0" u="none" strike="noStrike" baseline="0">
              <a:solidFill>
                <a:srgbClr val="FFFFFF"/>
              </a:solidFill>
              <a:latin typeface="Arial"/>
              <a:cs typeface="Arial"/>
            </a:rPr>
            <a:t>Standardmässig erscheint in Zelle I8 das Tagesdatum. Wird dieses Datum überschrieben, rechnet das System in den Monatstabellen (Zeilen 15) statt bis zum Tages- bis zum eingegebenen Datum, z.B. bis Ende Jahr, bei Eingabe von 31.12.98.</a:t>
          </a:r>
        </a:p>
        <a:p>
          <a:pPr algn="l" rtl="0">
            <a:defRPr sz="1000"/>
          </a:pPr>
          <a:endParaRPr lang="de-CH" sz="1000" b="0" i="0" u="none" strike="noStrike" baseline="0">
            <a:solidFill>
              <a:srgbClr val="FFFFFF"/>
            </a:solidFill>
            <a:latin typeface="Arial"/>
            <a:cs typeface="Arial"/>
          </a:endParaRPr>
        </a:p>
        <a:p>
          <a:pPr algn="l" rtl="0">
            <a:defRPr sz="1000"/>
          </a:pPr>
          <a:r>
            <a:rPr lang="de-CH" sz="1000" b="1" i="0" u="none" strike="noStrike" baseline="0">
              <a:solidFill>
                <a:srgbClr val="FFFFFF"/>
              </a:solidFill>
              <a:latin typeface="Arial"/>
              <a:cs typeface="Arial"/>
            </a:rPr>
            <a:t>Minderleistung bei Überzeit ...:</a:t>
          </a:r>
          <a:endParaRPr lang="de-CH" sz="1000" b="0" i="0" u="none" strike="noStrike" baseline="0">
            <a:solidFill>
              <a:srgbClr val="FFFFFF"/>
            </a:solidFill>
            <a:latin typeface="Arial"/>
            <a:cs typeface="Arial"/>
          </a:endParaRPr>
        </a:p>
        <a:p>
          <a:pPr algn="l" rtl="0">
            <a:defRPr sz="1000"/>
          </a:pPr>
          <a:r>
            <a:rPr lang="de-CH" sz="1000" b="0" i="0" u="none" strike="noStrike" baseline="0">
              <a:solidFill>
                <a:srgbClr val="FFFFFF"/>
              </a:solidFill>
              <a:latin typeface="Arial"/>
              <a:cs typeface="Arial"/>
            </a:rPr>
            <a:t>Soll an einem Überzeit-berechtigten Tag eine allfällige Minderleistung beim Überzeit-Saldo abgezogen werden JA oder NEIN. Bei NEIN wird die Minderleistung beim GLAZ-Saldo abgezogen.</a:t>
          </a:r>
        </a:p>
      </xdr:txBody>
    </xdr:sp>
    <xdr:clientData/>
  </xdr:twoCellAnchor>
  <xdr:twoCellAnchor>
    <xdr:from>
      <xdr:col>5</xdr:col>
      <xdr:colOff>384175</xdr:colOff>
      <xdr:row>0</xdr:row>
      <xdr:rowOff>0</xdr:rowOff>
    </xdr:from>
    <xdr:to>
      <xdr:col>9</xdr:col>
      <xdr:colOff>476252</xdr:colOff>
      <xdr:row>0</xdr:row>
      <xdr:rowOff>0</xdr:rowOff>
    </xdr:to>
    <xdr:sp macro="" textlink="$A$187">
      <xdr:nvSpPr>
        <xdr:cNvPr id="1594" name="Text 51">
          <a:extLst>
            <a:ext uri="{FF2B5EF4-FFF2-40B4-BE49-F238E27FC236}">
              <a16:creationId xmlns:a16="http://schemas.microsoft.com/office/drawing/2014/main" id="{00000000-0008-0000-1A00-00003A060000}"/>
            </a:ext>
          </a:extLst>
        </xdr:cNvPr>
        <xdr:cNvSpPr txBox="1">
          <a:spLocks noChangeArrowheads="1"/>
        </xdr:cNvSpPr>
      </xdr:nvSpPr>
      <xdr:spPr bwMode="auto">
        <a:xfrm>
          <a:off x="4216400" y="4330700"/>
          <a:ext cx="3111500" cy="1028700"/>
        </a:xfrm>
        <a:prstGeom prst="rect">
          <a:avLst/>
        </a:prstGeom>
        <a:solidFill>
          <a:srgbClr val="FFFFFF"/>
        </a:solidFill>
        <a:ln w="1">
          <a:solidFill>
            <a:srgbClr val="FFFFFF"/>
          </a:solidFill>
          <a:miter lim="800000"/>
          <a:headEnd/>
          <a:tailEnd/>
        </a:ln>
      </xdr:spPr>
      <xdr:txBody>
        <a:bodyPr vertOverflow="clip" wrap="square" lIns="36576" tIns="22860" rIns="36576" bIns="0" anchor="t" upright="1"/>
        <a:lstStyle/>
        <a:p>
          <a:pPr algn="ctr" rtl="0">
            <a:defRPr sz="1000"/>
          </a:pPr>
          <a:fld id="{9D65CC90-B74C-6649-A992-DE3EAB3F595F}" type="TxLink">
            <a:rPr lang="de-CH" sz="1200" b="0" i="0" u="none" strike="noStrike" baseline="0">
              <a:solidFill>
                <a:srgbClr val="FFFFFF"/>
              </a:solidFill>
              <a:latin typeface="Arial"/>
              <a:cs typeface="Arial"/>
            </a:rPr>
            <a:pPr algn="ctr" rtl="0">
              <a:defRPr sz="1000"/>
            </a:pPr>
            <a:t>Beispiel für korrekte Eingaben:
7:00 oder 38:10 oder 0:00 oder -2:07</a:t>
          </a:fld>
          <a:endParaRPr lang="de-CH" sz="1200" b="0" i="0" u="none" strike="noStrike" baseline="0">
            <a:solidFill>
              <a:srgbClr val="FFFFFF"/>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3</xdr:row>
      <xdr:rowOff>0</xdr:rowOff>
    </xdr:from>
    <xdr:to>
      <xdr:col>4</xdr:col>
      <xdr:colOff>0</xdr:colOff>
      <xdr:row>4</xdr:row>
      <xdr:rowOff>0</xdr:rowOff>
    </xdr:to>
    <xdr:sp macro="" textlink="">
      <xdr:nvSpPr>
        <xdr:cNvPr id="46081" name="Text Box 1">
          <a:hlinkClick xmlns:r="http://schemas.openxmlformats.org/officeDocument/2006/relationships" r:id="rId1"/>
          <a:extLst>
            <a:ext uri="{FF2B5EF4-FFF2-40B4-BE49-F238E27FC236}">
              <a16:creationId xmlns:a16="http://schemas.microsoft.com/office/drawing/2014/main" id="{00000000-0008-0000-0200-000001B40000}"/>
            </a:ext>
          </a:extLst>
        </xdr:cNvPr>
        <xdr:cNvSpPr txBox="1">
          <a:spLocks noChangeArrowheads="1"/>
        </xdr:cNvSpPr>
      </xdr:nvSpPr>
      <xdr:spPr bwMode="auto">
        <a:xfrm>
          <a:off x="419100" y="533400"/>
          <a:ext cx="5702300" cy="152400"/>
        </a:xfrm>
        <a:prstGeom prst="rect">
          <a:avLst/>
        </a:prstGeom>
        <a:solidFill>
          <a:srgbClr val="C0C0C0"/>
        </a:solidFill>
        <a:ln w="9525">
          <a:solidFill>
            <a:srgbClr val="FFFFFF"/>
          </a:solidFill>
          <a:miter lim="800000"/>
          <a:headEnd/>
          <a:tailEnd/>
        </a:ln>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Sinn und Zweck von ClearTime</a:t>
          </a:r>
        </a:p>
      </xdr:txBody>
    </xdr:sp>
    <xdr:clientData/>
  </xdr:twoCellAnchor>
  <xdr:twoCellAnchor>
    <xdr:from>
      <xdr:col>2</xdr:col>
      <xdr:colOff>0</xdr:colOff>
      <xdr:row>4</xdr:row>
      <xdr:rowOff>0</xdr:rowOff>
    </xdr:from>
    <xdr:to>
      <xdr:col>4</xdr:col>
      <xdr:colOff>0</xdr:colOff>
      <xdr:row>5</xdr:row>
      <xdr:rowOff>0</xdr:rowOff>
    </xdr:to>
    <xdr:sp macro="" textlink="">
      <xdr:nvSpPr>
        <xdr:cNvPr id="46082" name="Text Box 2">
          <a:hlinkClick xmlns:r="http://schemas.openxmlformats.org/officeDocument/2006/relationships" r:id="rId2"/>
          <a:extLst>
            <a:ext uri="{FF2B5EF4-FFF2-40B4-BE49-F238E27FC236}">
              <a16:creationId xmlns:a16="http://schemas.microsoft.com/office/drawing/2014/main" id="{00000000-0008-0000-0200-000002B40000}"/>
            </a:ext>
          </a:extLst>
        </xdr:cNvPr>
        <xdr:cNvSpPr txBox="1">
          <a:spLocks noChangeArrowheads="1"/>
        </xdr:cNvSpPr>
      </xdr:nvSpPr>
      <xdr:spPr bwMode="auto">
        <a:xfrm>
          <a:off x="419100" y="685800"/>
          <a:ext cx="5702300" cy="15240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Ausdruck von Berichten und Blättern</a:t>
          </a:r>
        </a:p>
      </xdr:txBody>
    </xdr:sp>
    <xdr:clientData/>
  </xdr:twoCellAnchor>
  <xdr:twoCellAnchor>
    <xdr:from>
      <xdr:col>2</xdr:col>
      <xdr:colOff>0</xdr:colOff>
      <xdr:row>5</xdr:row>
      <xdr:rowOff>0</xdr:rowOff>
    </xdr:from>
    <xdr:to>
      <xdr:col>4</xdr:col>
      <xdr:colOff>0</xdr:colOff>
      <xdr:row>6</xdr:row>
      <xdr:rowOff>0</xdr:rowOff>
    </xdr:to>
    <xdr:sp macro="" textlink="">
      <xdr:nvSpPr>
        <xdr:cNvPr id="46083" name="Text Box 3">
          <a:hlinkClick xmlns:r="http://schemas.openxmlformats.org/officeDocument/2006/relationships" r:id="rId3"/>
          <a:extLst>
            <a:ext uri="{FF2B5EF4-FFF2-40B4-BE49-F238E27FC236}">
              <a16:creationId xmlns:a16="http://schemas.microsoft.com/office/drawing/2014/main" id="{00000000-0008-0000-0200-000003B40000}"/>
            </a:ext>
          </a:extLst>
        </xdr:cNvPr>
        <xdr:cNvSpPr txBox="1">
          <a:spLocks noChangeArrowheads="1"/>
        </xdr:cNvSpPr>
      </xdr:nvSpPr>
      <xdr:spPr bwMode="auto">
        <a:xfrm>
          <a:off x="419100" y="838200"/>
          <a:ext cx="5702300" cy="15240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Basiszeit: Wie wird sie eingetragen?</a:t>
          </a:r>
        </a:p>
      </xdr:txBody>
    </xdr:sp>
    <xdr:clientData/>
  </xdr:twoCellAnchor>
  <xdr:twoCellAnchor>
    <xdr:from>
      <xdr:col>2</xdr:col>
      <xdr:colOff>0</xdr:colOff>
      <xdr:row>6</xdr:row>
      <xdr:rowOff>0</xdr:rowOff>
    </xdr:from>
    <xdr:to>
      <xdr:col>4</xdr:col>
      <xdr:colOff>0</xdr:colOff>
      <xdr:row>7</xdr:row>
      <xdr:rowOff>0</xdr:rowOff>
    </xdr:to>
    <xdr:sp macro="" textlink="">
      <xdr:nvSpPr>
        <xdr:cNvPr id="46084" name="Text Box 4">
          <a:hlinkClick xmlns:r="http://schemas.openxmlformats.org/officeDocument/2006/relationships" r:id="rId4"/>
          <a:extLst>
            <a:ext uri="{FF2B5EF4-FFF2-40B4-BE49-F238E27FC236}">
              <a16:creationId xmlns:a16="http://schemas.microsoft.com/office/drawing/2014/main" id="{00000000-0008-0000-0200-000004B40000}"/>
            </a:ext>
          </a:extLst>
        </xdr:cNvPr>
        <xdr:cNvSpPr txBox="1">
          <a:spLocks noChangeArrowheads="1"/>
        </xdr:cNvSpPr>
      </xdr:nvSpPr>
      <xdr:spPr bwMode="auto">
        <a:xfrm>
          <a:off x="419100" y="990600"/>
          <a:ext cx="5702300" cy="15240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Basiszeit: Was ist darunter zu verstehen?</a:t>
          </a:r>
        </a:p>
      </xdr:txBody>
    </xdr:sp>
    <xdr:clientData/>
  </xdr:twoCellAnchor>
  <xdr:twoCellAnchor>
    <xdr:from>
      <xdr:col>2</xdr:col>
      <xdr:colOff>0</xdr:colOff>
      <xdr:row>7</xdr:row>
      <xdr:rowOff>0</xdr:rowOff>
    </xdr:from>
    <xdr:to>
      <xdr:col>4</xdr:col>
      <xdr:colOff>0</xdr:colOff>
      <xdr:row>8</xdr:row>
      <xdr:rowOff>0</xdr:rowOff>
    </xdr:to>
    <xdr:sp macro="" textlink="">
      <xdr:nvSpPr>
        <xdr:cNvPr id="46085" name="Text Box 5">
          <a:hlinkClick xmlns:r="http://schemas.openxmlformats.org/officeDocument/2006/relationships" r:id="rId5"/>
          <a:extLst>
            <a:ext uri="{FF2B5EF4-FFF2-40B4-BE49-F238E27FC236}">
              <a16:creationId xmlns:a16="http://schemas.microsoft.com/office/drawing/2014/main" id="{00000000-0008-0000-0200-000005B40000}"/>
            </a:ext>
          </a:extLst>
        </xdr:cNvPr>
        <xdr:cNvSpPr txBox="1">
          <a:spLocks noChangeArrowheads="1"/>
        </xdr:cNvSpPr>
      </xdr:nvSpPr>
      <xdr:spPr bwMode="auto">
        <a:xfrm>
          <a:off x="419100" y="1143000"/>
          <a:ext cx="5702300" cy="15240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Anstellungsbeginn im Laufe des Jahres</a:t>
          </a:r>
        </a:p>
      </xdr:txBody>
    </xdr:sp>
    <xdr:clientData/>
  </xdr:twoCellAnchor>
  <xdr:twoCellAnchor>
    <xdr:from>
      <xdr:col>2</xdr:col>
      <xdr:colOff>0</xdr:colOff>
      <xdr:row>8</xdr:row>
      <xdr:rowOff>0</xdr:rowOff>
    </xdr:from>
    <xdr:to>
      <xdr:col>4</xdr:col>
      <xdr:colOff>0</xdr:colOff>
      <xdr:row>9</xdr:row>
      <xdr:rowOff>0</xdr:rowOff>
    </xdr:to>
    <xdr:sp macro="" textlink="">
      <xdr:nvSpPr>
        <xdr:cNvPr id="46086" name="Text Box 6">
          <a:hlinkClick xmlns:r="http://schemas.openxmlformats.org/officeDocument/2006/relationships" r:id="rId6"/>
          <a:extLst>
            <a:ext uri="{FF2B5EF4-FFF2-40B4-BE49-F238E27FC236}">
              <a16:creationId xmlns:a16="http://schemas.microsoft.com/office/drawing/2014/main" id="{00000000-0008-0000-0200-000006B40000}"/>
            </a:ext>
          </a:extLst>
        </xdr:cNvPr>
        <xdr:cNvSpPr txBox="1">
          <a:spLocks noChangeArrowheads="1"/>
        </xdr:cNvSpPr>
      </xdr:nvSpPr>
      <xdr:spPr bwMode="auto">
        <a:xfrm>
          <a:off x="419100" y="1295400"/>
          <a:ext cx="5702300" cy="15240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Anstellungsgrad: Wie werden Änderungen im Laufe des Jahres eingetragen?</a:t>
          </a:r>
        </a:p>
      </xdr:txBody>
    </xdr:sp>
    <xdr:clientData/>
  </xdr:twoCellAnchor>
  <xdr:twoCellAnchor>
    <xdr:from>
      <xdr:col>2</xdr:col>
      <xdr:colOff>0</xdr:colOff>
      <xdr:row>9</xdr:row>
      <xdr:rowOff>0</xdr:rowOff>
    </xdr:from>
    <xdr:to>
      <xdr:col>4</xdr:col>
      <xdr:colOff>0</xdr:colOff>
      <xdr:row>10</xdr:row>
      <xdr:rowOff>0</xdr:rowOff>
    </xdr:to>
    <xdr:sp macro="" textlink="">
      <xdr:nvSpPr>
        <xdr:cNvPr id="46087" name="Text Box 7">
          <a:hlinkClick xmlns:r="http://schemas.openxmlformats.org/officeDocument/2006/relationships" r:id="rId7"/>
          <a:extLst>
            <a:ext uri="{FF2B5EF4-FFF2-40B4-BE49-F238E27FC236}">
              <a16:creationId xmlns:a16="http://schemas.microsoft.com/office/drawing/2014/main" id="{00000000-0008-0000-0200-000007B40000}"/>
            </a:ext>
          </a:extLst>
        </xdr:cNvPr>
        <xdr:cNvSpPr txBox="1">
          <a:spLocks noChangeArrowheads="1"/>
        </xdr:cNvSpPr>
      </xdr:nvSpPr>
      <xdr:spPr bwMode="auto">
        <a:xfrm>
          <a:off x="419100" y="1447800"/>
          <a:ext cx="5702300" cy="15240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Arbeitszeit-Saldo: Beobachtung der künftigen Entwicklung</a:t>
          </a:r>
        </a:p>
      </xdr:txBody>
    </xdr:sp>
    <xdr:clientData/>
  </xdr:twoCellAnchor>
  <xdr:twoCellAnchor>
    <xdr:from>
      <xdr:col>2</xdr:col>
      <xdr:colOff>0</xdr:colOff>
      <xdr:row>11</xdr:row>
      <xdr:rowOff>0</xdr:rowOff>
    </xdr:from>
    <xdr:to>
      <xdr:col>4</xdr:col>
      <xdr:colOff>0</xdr:colOff>
      <xdr:row>12</xdr:row>
      <xdr:rowOff>0</xdr:rowOff>
    </xdr:to>
    <xdr:sp macro="" textlink="">
      <xdr:nvSpPr>
        <xdr:cNvPr id="46090" name="Text Box 10">
          <a:hlinkClick xmlns:r="http://schemas.openxmlformats.org/officeDocument/2006/relationships" r:id="rId8"/>
          <a:extLst>
            <a:ext uri="{FF2B5EF4-FFF2-40B4-BE49-F238E27FC236}">
              <a16:creationId xmlns:a16="http://schemas.microsoft.com/office/drawing/2014/main" id="{00000000-0008-0000-0200-00000AB40000}"/>
            </a:ext>
          </a:extLst>
        </xdr:cNvPr>
        <xdr:cNvSpPr txBox="1">
          <a:spLocks noChangeArrowheads="1"/>
        </xdr:cNvSpPr>
      </xdr:nvSpPr>
      <xdr:spPr bwMode="auto">
        <a:xfrm>
          <a:off x="419100" y="1905000"/>
          <a:ext cx="5702300" cy="15240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Technische Voraussetzungen</a:t>
          </a:r>
        </a:p>
      </xdr:txBody>
    </xdr:sp>
    <xdr:clientData/>
  </xdr:twoCellAnchor>
  <xdr:twoCellAnchor>
    <xdr:from>
      <xdr:col>2</xdr:col>
      <xdr:colOff>0</xdr:colOff>
      <xdr:row>12</xdr:row>
      <xdr:rowOff>0</xdr:rowOff>
    </xdr:from>
    <xdr:to>
      <xdr:col>4</xdr:col>
      <xdr:colOff>0</xdr:colOff>
      <xdr:row>13</xdr:row>
      <xdr:rowOff>0</xdr:rowOff>
    </xdr:to>
    <xdr:sp macro="" textlink="">
      <xdr:nvSpPr>
        <xdr:cNvPr id="46091" name="Text Box 11">
          <a:hlinkClick xmlns:r="http://schemas.openxmlformats.org/officeDocument/2006/relationships" r:id="rId9"/>
          <a:extLst>
            <a:ext uri="{FF2B5EF4-FFF2-40B4-BE49-F238E27FC236}">
              <a16:creationId xmlns:a16="http://schemas.microsoft.com/office/drawing/2014/main" id="{00000000-0008-0000-0200-00000BB40000}"/>
            </a:ext>
          </a:extLst>
        </xdr:cNvPr>
        <xdr:cNvSpPr txBox="1">
          <a:spLocks noChangeArrowheads="1"/>
        </xdr:cNvSpPr>
      </xdr:nvSpPr>
      <xdr:spPr bwMode="auto">
        <a:xfrm>
          <a:off x="419100" y="2057400"/>
          <a:ext cx="5702300" cy="15240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Format der Eingaben</a:t>
          </a:r>
        </a:p>
      </xdr:txBody>
    </xdr:sp>
    <xdr:clientData/>
  </xdr:twoCellAnchor>
  <xdr:twoCellAnchor>
    <xdr:from>
      <xdr:col>2</xdr:col>
      <xdr:colOff>0</xdr:colOff>
      <xdr:row>13</xdr:row>
      <xdr:rowOff>0</xdr:rowOff>
    </xdr:from>
    <xdr:to>
      <xdr:col>4</xdr:col>
      <xdr:colOff>0</xdr:colOff>
      <xdr:row>14</xdr:row>
      <xdr:rowOff>0</xdr:rowOff>
    </xdr:to>
    <xdr:sp macro="" textlink="">
      <xdr:nvSpPr>
        <xdr:cNvPr id="46092" name="Text Box 12">
          <a:hlinkClick xmlns:r="http://schemas.openxmlformats.org/officeDocument/2006/relationships" r:id="rId10"/>
          <a:extLst>
            <a:ext uri="{FF2B5EF4-FFF2-40B4-BE49-F238E27FC236}">
              <a16:creationId xmlns:a16="http://schemas.microsoft.com/office/drawing/2014/main" id="{00000000-0008-0000-0200-00000CB40000}"/>
            </a:ext>
          </a:extLst>
        </xdr:cNvPr>
        <xdr:cNvSpPr txBox="1">
          <a:spLocks noChangeArrowheads="1"/>
        </xdr:cNvSpPr>
      </xdr:nvSpPr>
      <xdr:spPr bwMode="auto">
        <a:xfrm>
          <a:off x="419100" y="2209800"/>
          <a:ext cx="5702300" cy="15240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Eintrag von bezahlten Urlauben, Unfall, Krankheit usw.</a:t>
          </a:r>
        </a:p>
      </xdr:txBody>
    </xdr:sp>
    <xdr:clientData/>
  </xdr:twoCellAnchor>
  <xdr:twoCellAnchor>
    <xdr:from>
      <xdr:col>2</xdr:col>
      <xdr:colOff>0</xdr:colOff>
      <xdr:row>14</xdr:row>
      <xdr:rowOff>0</xdr:rowOff>
    </xdr:from>
    <xdr:to>
      <xdr:col>4</xdr:col>
      <xdr:colOff>0</xdr:colOff>
      <xdr:row>15</xdr:row>
      <xdr:rowOff>0</xdr:rowOff>
    </xdr:to>
    <xdr:sp macro="" textlink="">
      <xdr:nvSpPr>
        <xdr:cNvPr id="46093" name="Text Box 13">
          <a:hlinkClick xmlns:r="http://schemas.openxmlformats.org/officeDocument/2006/relationships" r:id="rId11"/>
          <a:extLst>
            <a:ext uri="{FF2B5EF4-FFF2-40B4-BE49-F238E27FC236}">
              <a16:creationId xmlns:a16="http://schemas.microsoft.com/office/drawing/2014/main" id="{00000000-0008-0000-0200-00000DB40000}"/>
            </a:ext>
          </a:extLst>
        </xdr:cNvPr>
        <xdr:cNvSpPr txBox="1">
          <a:spLocks noChangeArrowheads="1"/>
        </xdr:cNvSpPr>
      </xdr:nvSpPr>
      <xdr:spPr bwMode="auto">
        <a:xfrm>
          <a:off x="419100" y="2362200"/>
          <a:ext cx="5702300" cy="15240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Übernahme von "alten" Einträgen in eine neue Datei</a:t>
          </a:r>
        </a:p>
      </xdr:txBody>
    </xdr:sp>
    <xdr:clientData/>
  </xdr:twoCellAnchor>
  <xdr:twoCellAnchor>
    <xdr:from>
      <xdr:col>2</xdr:col>
      <xdr:colOff>0</xdr:colOff>
      <xdr:row>15</xdr:row>
      <xdr:rowOff>0</xdr:rowOff>
    </xdr:from>
    <xdr:to>
      <xdr:col>4</xdr:col>
      <xdr:colOff>0</xdr:colOff>
      <xdr:row>16</xdr:row>
      <xdr:rowOff>0</xdr:rowOff>
    </xdr:to>
    <xdr:sp macro="" textlink="">
      <xdr:nvSpPr>
        <xdr:cNvPr id="46094" name="Text Box 14">
          <a:hlinkClick xmlns:r="http://schemas.openxmlformats.org/officeDocument/2006/relationships" r:id="rId12"/>
          <a:extLst>
            <a:ext uri="{FF2B5EF4-FFF2-40B4-BE49-F238E27FC236}">
              <a16:creationId xmlns:a16="http://schemas.microsoft.com/office/drawing/2014/main" id="{00000000-0008-0000-0200-00000EB40000}"/>
            </a:ext>
          </a:extLst>
        </xdr:cNvPr>
        <xdr:cNvSpPr txBox="1">
          <a:spLocks noChangeArrowheads="1"/>
        </xdr:cNvSpPr>
      </xdr:nvSpPr>
      <xdr:spPr bwMode="auto">
        <a:xfrm>
          <a:off x="419100" y="2514600"/>
          <a:ext cx="5702300" cy="15240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Abweichung von der 42-Stunden-Woche</a:t>
          </a:r>
        </a:p>
      </xdr:txBody>
    </xdr:sp>
    <xdr:clientData/>
  </xdr:twoCellAnchor>
  <xdr:twoCellAnchor>
    <xdr:from>
      <xdr:col>2</xdr:col>
      <xdr:colOff>0</xdr:colOff>
      <xdr:row>16</xdr:row>
      <xdr:rowOff>0</xdr:rowOff>
    </xdr:from>
    <xdr:to>
      <xdr:col>4</xdr:col>
      <xdr:colOff>0</xdr:colOff>
      <xdr:row>17</xdr:row>
      <xdr:rowOff>0</xdr:rowOff>
    </xdr:to>
    <xdr:sp macro="" textlink="">
      <xdr:nvSpPr>
        <xdr:cNvPr id="46095" name="Text Box 15">
          <a:hlinkClick xmlns:r="http://schemas.openxmlformats.org/officeDocument/2006/relationships" r:id="rId13"/>
          <a:extLst>
            <a:ext uri="{FF2B5EF4-FFF2-40B4-BE49-F238E27FC236}">
              <a16:creationId xmlns:a16="http://schemas.microsoft.com/office/drawing/2014/main" id="{00000000-0008-0000-0200-00000FB40000}"/>
            </a:ext>
          </a:extLst>
        </xdr:cNvPr>
        <xdr:cNvSpPr txBox="1">
          <a:spLocks noChangeArrowheads="1"/>
        </xdr:cNvSpPr>
      </xdr:nvSpPr>
      <xdr:spPr bwMode="auto">
        <a:xfrm>
          <a:off x="419100" y="2667000"/>
          <a:ext cx="5702300" cy="15240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Feiertags-/Freitagsanspruch bei Teilzeitanstellungen</a:t>
          </a:r>
        </a:p>
      </xdr:txBody>
    </xdr:sp>
    <xdr:clientData/>
  </xdr:twoCellAnchor>
  <xdr:twoCellAnchor>
    <xdr:from>
      <xdr:col>2</xdr:col>
      <xdr:colOff>0</xdr:colOff>
      <xdr:row>17</xdr:row>
      <xdr:rowOff>0</xdr:rowOff>
    </xdr:from>
    <xdr:to>
      <xdr:col>4</xdr:col>
      <xdr:colOff>0</xdr:colOff>
      <xdr:row>18</xdr:row>
      <xdr:rowOff>0</xdr:rowOff>
    </xdr:to>
    <xdr:sp macro="" textlink="">
      <xdr:nvSpPr>
        <xdr:cNvPr id="46096" name="Text Box 16">
          <a:hlinkClick xmlns:r="http://schemas.openxmlformats.org/officeDocument/2006/relationships" r:id="rId14"/>
          <a:extLst>
            <a:ext uri="{FF2B5EF4-FFF2-40B4-BE49-F238E27FC236}">
              <a16:creationId xmlns:a16="http://schemas.microsoft.com/office/drawing/2014/main" id="{00000000-0008-0000-0200-000010B40000}"/>
            </a:ext>
          </a:extLst>
        </xdr:cNvPr>
        <xdr:cNvSpPr txBox="1">
          <a:spLocks noChangeArrowheads="1"/>
        </xdr:cNvSpPr>
      </xdr:nvSpPr>
      <xdr:spPr bwMode="auto">
        <a:xfrm>
          <a:off x="419100" y="2819400"/>
          <a:ext cx="5702300" cy="15240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Ausbezahlte Überzeit</a:t>
          </a:r>
        </a:p>
      </xdr:txBody>
    </xdr:sp>
    <xdr:clientData/>
  </xdr:twoCellAnchor>
  <xdr:twoCellAnchor>
    <xdr:from>
      <xdr:col>5</xdr:col>
      <xdr:colOff>2317750</xdr:colOff>
      <xdr:row>0</xdr:row>
      <xdr:rowOff>0</xdr:rowOff>
    </xdr:from>
    <xdr:to>
      <xdr:col>5</xdr:col>
      <xdr:colOff>3198865</xdr:colOff>
      <xdr:row>1</xdr:row>
      <xdr:rowOff>0</xdr:rowOff>
    </xdr:to>
    <xdr:sp macro="" textlink="">
      <xdr:nvSpPr>
        <xdr:cNvPr id="46097" name="Text Box 17">
          <a:hlinkClick xmlns:r="http://schemas.openxmlformats.org/officeDocument/2006/relationships" r:id="rId15"/>
          <a:extLst>
            <a:ext uri="{FF2B5EF4-FFF2-40B4-BE49-F238E27FC236}">
              <a16:creationId xmlns:a16="http://schemas.microsoft.com/office/drawing/2014/main" id="{00000000-0008-0000-0200-000011B40000}"/>
            </a:ext>
          </a:extLst>
        </xdr:cNvPr>
        <xdr:cNvSpPr txBox="1">
          <a:spLocks noChangeArrowheads="1"/>
        </xdr:cNvSpPr>
      </xdr:nvSpPr>
      <xdr:spPr bwMode="auto">
        <a:xfrm>
          <a:off x="8737600" y="0"/>
          <a:ext cx="876300" cy="2286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zur Startseite</a:t>
          </a:r>
        </a:p>
      </xdr:txBody>
    </xdr:sp>
    <xdr:clientData/>
  </xdr:twoCellAnchor>
  <xdr:twoCellAnchor>
    <xdr:from>
      <xdr:col>2</xdr:col>
      <xdr:colOff>0</xdr:colOff>
      <xdr:row>10</xdr:row>
      <xdr:rowOff>0</xdr:rowOff>
    </xdr:from>
    <xdr:to>
      <xdr:col>4</xdr:col>
      <xdr:colOff>0</xdr:colOff>
      <xdr:row>11</xdr:row>
      <xdr:rowOff>0</xdr:rowOff>
    </xdr:to>
    <xdr:sp macro="" textlink="">
      <xdr:nvSpPr>
        <xdr:cNvPr id="17" name="Text Box 7">
          <a:hlinkClick xmlns:r="http://schemas.openxmlformats.org/officeDocument/2006/relationships" r:id="rId16"/>
          <a:extLst>
            <a:ext uri="{FF2B5EF4-FFF2-40B4-BE49-F238E27FC236}">
              <a16:creationId xmlns:a16="http://schemas.microsoft.com/office/drawing/2014/main" id="{00000000-0008-0000-0200-000011000000}"/>
            </a:ext>
          </a:extLst>
        </xdr:cNvPr>
        <xdr:cNvSpPr txBox="1">
          <a:spLocks noChangeArrowheads="1"/>
        </xdr:cNvSpPr>
      </xdr:nvSpPr>
      <xdr:spPr bwMode="auto">
        <a:xfrm>
          <a:off x="381000" y="1600200"/>
          <a:ext cx="5128260" cy="16764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Nutzungsrechte</a:t>
          </a:r>
        </a:p>
        <a:p>
          <a:pPr algn="l" rtl="0">
            <a:defRPr sz="1000"/>
          </a:pPr>
          <a:endParaRPr lang="de-CH" sz="10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0</xdr:row>
      <xdr:rowOff>0</xdr:rowOff>
    </xdr:from>
    <xdr:to>
      <xdr:col>9</xdr:col>
      <xdr:colOff>0</xdr:colOff>
      <xdr:row>1</xdr:row>
      <xdr:rowOff>0</xdr:rowOff>
    </xdr:to>
    <xdr:sp macro="" textlink="">
      <xdr:nvSpPr>
        <xdr:cNvPr id="15363" name="Text Box 3">
          <a:hlinkClick xmlns:r="http://schemas.openxmlformats.org/officeDocument/2006/relationships" r:id="rId1"/>
          <a:extLst>
            <a:ext uri="{FF2B5EF4-FFF2-40B4-BE49-F238E27FC236}">
              <a16:creationId xmlns:a16="http://schemas.microsoft.com/office/drawing/2014/main" id="{00000000-0008-0000-0300-0000033C0000}"/>
            </a:ext>
          </a:extLst>
        </xdr:cNvPr>
        <xdr:cNvSpPr txBox="1">
          <a:spLocks noChangeArrowheads="1"/>
        </xdr:cNvSpPr>
      </xdr:nvSpPr>
      <xdr:spPr bwMode="auto">
        <a:xfrm>
          <a:off x="7010400" y="0"/>
          <a:ext cx="876300" cy="228600"/>
        </a:xfrm>
        <a:prstGeom prst="rect">
          <a:avLst/>
        </a:prstGeom>
        <a:solidFill>
          <a:srgbClr val="003366"/>
        </a:solidFill>
        <a:ln w="9525">
          <a:solidFill>
            <a:srgbClr val="FFFFFF"/>
          </a:solidFill>
          <a:miter lim="800000"/>
          <a:headEnd/>
          <a:tailEnd/>
        </a:ln>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zur Startseite</a:t>
          </a:r>
        </a:p>
      </xdr:txBody>
    </xdr:sp>
    <xdr:clientData fPrintsWithSheet="0"/>
  </xdr:twoCellAnchor>
  <xdr:twoCellAnchor>
    <xdr:from>
      <xdr:col>9</xdr:col>
      <xdr:colOff>0</xdr:colOff>
      <xdr:row>0</xdr:row>
      <xdr:rowOff>0</xdr:rowOff>
    </xdr:from>
    <xdr:to>
      <xdr:col>17</xdr:col>
      <xdr:colOff>0</xdr:colOff>
      <xdr:row>1</xdr:row>
      <xdr:rowOff>0</xdr:rowOff>
    </xdr:to>
    <xdr:sp macro="" textlink="">
      <xdr:nvSpPr>
        <xdr:cNvPr id="15364" name="Text Box 4">
          <a:hlinkClick xmlns:r="http://schemas.openxmlformats.org/officeDocument/2006/relationships" r:id="rId2"/>
          <a:extLst>
            <a:ext uri="{FF2B5EF4-FFF2-40B4-BE49-F238E27FC236}">
              <a16:creationId xmlns:a16="http://schemas.microsoft.com/office/drawing/2014/main" id="{00000000-0008-0000-0300-0000043C0000}"/>
            </a:ext>
          </a:extLst>
        </xdr:cNvPr>
        <xdr:cNvSpPr txBox="1">
          <a:spLocks noChangeArrowheads="1"/>
        </xdr:cNvSpPr>
      </xdr:nvSpPr>
      <xdr:spPr bwMode="auto">
        <a:xfrm>
          <a:off x="78867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weiter &gt;</a:t>
          </a:r>
        </a:p>
      </xdr:txBody>
    </xdr:sp>
    <xdr:clientData fPrintsWithSheet="0"/>
  </xdr:twoCellAnchor>
  <xdr:twoCellAnchor>
    <xdr:from>
      <xdr:col>1</xdr:col>
      <xdr:colOff>0</xdr:colOff>
      <xdr:row>36</xdr:row>
      <xdr:rowOff>0</xdr:rowOff>
    </xdr:from>
    <xdr:to>
      <xdr:col>9</xdr:col>
      <xdr:colOff>0</xdr:colOff>
      <xdr:row>40</xdr:row>
      <xdr:rowOff>0</xdr:rowOff>
    </xdr:to>
    <xdr:sp macro="" textlink="">
      <xdr:nvSpPr>
        <xdr:cNvPr id="15365" name="Text Box 5">
          <a:extLst>
            <a:ext uri="{FF2B5EF4-FFF2-40B4-BE49-F238E27FC236}">
              <a16:creationId xmlns:a16="http://schemas.microsoft.com/office/drawing/2014/main" id="{00000000-0008-0000-0300-0000053C0000}"/>
            </a:ext>
          </a:extLst>
        </xdr:cNvPr>
        <xdr:cNvSpPr txBox="1">
          <a:spLocks noChangeArrowheads="1"/>
        </xdr:cNvSpPr>
      </xdr:nvSpPr>
      <xdr:spPr bwMode="auto">
        <a:xfrm>
          <a:off x="876300" y="5562600"/>
          <a:ext cx="7010400" cy="609600"/>
        </a:xfrm>
        <a:prstGeom prst="rect">
          <a:avLst/>
        </a:prstGeom>
        <a:noFill/>
        <a:ln w="9525">
          <a:noFill/>
          <a:miter lim="800000"/>
          <a:headEnd/>
          <a:tailEnd/>
        </a:ln>
      </xdr:spPr>
      <xdr:txBody>
        <a:bodyPr vertOverflow="clip" wrap="square" lIns="27432" tIns="18288" rIns="0" bIns="0" anchor="t" upright="1"/>
        <a:lstStyle/>
        <a:p>
          <a:pPr algn="l" rtl="0">
            <a:defRPr sz="1000"/>
          </a:pPr>
          <a:r>
            <a:rPr lang="de-CH" sz="1000" b="1" i="0" u="none" strike="noStrike" baseline="0">
              <a:solidFill>
                <a:srgbClr val="000000"/>
              </a:solidFill>
              <a:latin typeface="Arial"/>
              <a:cs typeface="Arial"/>
            </a:rPr>
            <a:t>FAQ:</a:t>
          </a:r>
          <a:endParaRPr lang="de-CH" sz="1000" b="0" i="0" u="none" strike="noStrike" baseline="0">
            <a:solidFill>
              <a:srgbClr val="000000"/>
            </a:solidFill>
            <a:latin typeface="Arial"/>
            <a:cs typeface="Arial"/>
          </a:endParaRPr>
        </a:p>
        <a:p>
          <a:pPr algn="l" rtl="0">
            <a:defRPr sz="1000"/>
          </a:pPr>
          <a:r>
            <a:rPr lang="de-CH" sz="1000" b="1" i="0" u="none" strike="noStrike" baseline="0">
              <a:solidFill>
                <a:srgbClr val="DD0806"/>
              </a:solidFill>
              <a:latin typeface="Arial"/>
              <a:cs typeface="Arial"/>
            </a:rPr>
            <a:t>Ich habe Felder ausgeschnitten oder verschoben und nun geht nichts mehr!</a:t>
          </a:r>
          <a:endParaRPr lang="de-CH" sz="1000" b="0" i="0" u="none" strike="noStrike" baseline="0">
            <a:solidFill>
              <a:srgbClr val="000000"/>
            </a:solidFill>
            <a:latin typeface="Arial"/>
            <a:cs typeface="Arial"/>
          </a:endParaRPr>
        </a:p>
        <a:p>
          <a:pPr algn="l" rtl="0">
            <a:lnSpc>
              <a:spcPts val="1100"/>
            </a:lnSpc>
            <a:defRPr sz="1000"/>
          </a:pPr>
          <a:r>
            <a:rPr lang="de-CH" sz="1000" b="0" i="0" u="none" strike="noStrike" baseline="0">
              <a:solidFill>
                <a:srgbClr val="000000"/>
              </a:solidFill>
              <a:latin typeface="Arial"/>
              <a:cs typeface="Arial"/>
            </a:rPr>
            <a:t>Stellen Sie vor dem Speichern mit der Funktion "Rückgängig" den ursprünglichen Zustand wieder her.</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31</xdr:row>
      <xdr:rowOff>0</xdr:rowOff>
    </xdr:from>
    <xdr:to>
      <xdr:col>10</xdr:col>
      <xdr:colOff>0</xdr:colOff>
      <xdr:row>35</xdr:row>
      <xdr:rowOff>0</xdr:rowOff>
    </xdr:to>
    <xdr:sp macro="" textlink="">
      <xdr:nvSpPr>
        <xdr:cNvPr id="18433" name="Text Box 1">
          <a:extLst>
            <a:ext uri="{FF2B5EF4-FFF2-40B4-BE49-F238E27FC236}">
              <a16:creationId xmlns:a16="http://schemas.microsoft.com/office/drawing/2014/main" id="{00000000-0008-0000-0400-000001480000}"/>
            </a:ext>
          </a:extLst>
        </xdr:cNvPr>
        <xdr:cNvSpPr txBox="1">
          <a:spLocks noChangeArrowheads="1"/>
        </xdr:cNvSpPr>
      </xdr:nvSpPr>
      <xdr:spPr bwMode="auto">
        <a:xfrm>
          <a:off x="876300" y="4318000"/>
          <a:ext cx="7048500" cy="609600"/>
        </a:xfrm>
        <a:prstGeom prst="rect">
          <a:avLst/>
        </a:prstGeom>
        <a:noFill/>
        <a:ln w="9525">
          <a:noFill/>
          <a:miter lim="800000"/>
          <a:headEnd/>
          <a:tailEnd/>
        </a:ln>
      </xdr:spPr>
      <xdr:txBody>
        <a:bodyPr vertOverflow="clip" wrap="square" lIns="27432" tIns="18288" rIns="0" bIns="0" anchor="t" upright="1"/>
        <a:lstStyle/>
        <a:p>
          <a:pPr algn="l" rtl="0">
            <a:defRPr sz="1000"/>
          </a:pPr>
          <a:r>
            <a:rPr lang="de-CH" sz="1000" b="1" i="0" u="none" strike="noStrike" baseline="0">
              <a:solidFill>
                <a:srgbClr val="000000"/>
              </a:solidFill>
              <a:latin typeface="Arial"/>
              <a:cs typeface="Arial"/>
            </a:rPr>
            <a:t>FAQ:</a:t>
          </a:r>
          <a:endParaRPr lang="de-CH" sz="1000" b="0" i="0" u="none" strike="noStrike" baseline="0">
            <a:solidFill>
              <a:srgbClr val="000000"/>
            </a:solidFill>
            <a:latin typeface="Arial"/>
            <a:cs typeface="Arial"/>
          </a:endParaRPr>
        </a:p>
        <a:p>
          <a:pPr algn="l" rtl="0">
            <a:defRPr sz="1000"/>
          </a:pPr>
          <a:r>
            <a:rPr lang="de-CH" sz="1000" b="1" i="0" u="none" strike="noStrike" baseline="0">
              <a:solidFill>
                <a:srgbClr val="DD0806"/>
              </a:solidFill>
              <a:latin typeface="Arial"/>
              <a:cs typeface="Arial"/>
            </a:rPr>
            <a:t>Ich habe Felder ausgeschnitten oder verschoben und nun geht nichts mehr!</a:t>
          </a:r>
          <a:endParaRPr lang="de-CH" sz="1000" b="0" i="0" u="none" strike="noStrike" baseline="0">
            <a:solidFill>
              <a:srgbClr val="000000"/>
            </a:solidFill>
            <a:latin typeface="Arial"/>
            <a:cs typeface="Arial"/>
          </a:endParaRPr>
        </a:p>
        <a:p>
          <a:pPr algn="l" rtl="0">
            <a:lnSpc>
              <a:spcPts val="1100"/>
            </a:lnSpc>
            <a:defRPr sz="1000"/>
          </a:pPr>
          <a:r>
            <a:rPr lang="de-CH" sz="1000" b="0" i="0" u="none" strike="noStrike" baseline="0">
              <a:solidFill>
                <a:srgbClr val="000000"/>
              </a:solidFill>
              <a:latin typeface="Arial"/>
              <a:cs typeface="Arial"/>
            </a:rPr>
            <a:t>Stellen Sie vor dem Speichern mit der Funktion "Rückgängig" den ursprünglichen Zustand wieder her.</a:t>
          </a:r>
        </a:p>
      </xdr:txBody>
    </xdr:sp>
    <xdr:clientData/>
  </xdr:twoCellAnchor>
  <xdr:twoCellAnchor>
    <xdr:from>
      <xdr:col>9</xdr:col>
      <xdr:colOff>0</xdr:colOff>
      <xdr:row>0</xdr:row>
      <xdr:rowOff>0</xdr:rowOff>
    </xdr:from>
    <xdr:to>
      <xdr:col>10</xdr:col>
      <xdr:colOff>0</xdr:colOff>
      <xdr:row>1</xdr:row>
      <xdr:rowOff>0</xdr:rowOff>
    </xdr:to>
    <xdr:sp macro="" textlink="">
      <xdr:nvSpPr>
        <xdr:cNvPr id="18435" name="Text Box 3">
          <a:hlinkClick xmlns:r="http://schemas.openxmlformats.org/officeDocument/2006/relationships" r:id="rId1"/>
          <a:extLst>
            <a:ext uri="{FF2B5EF4-FFF2-40B4-BE49-F238E27FC236}">
              <a16:creationId xmlns:a16="http://schemas.microsoft.com/office/drawing/2014/main" id="{00000000-0008-0000-0400-000003480000}"/>
            </a:ext>
          </a:extLst>
        </xdr:cNvPr>
        <xdr:cNvSpPr txBox="1">
          <a:spLocks noChangeArrowheads="1"/>
        </xdr:cNvSpPr>
      </xdr:nvSpPr>
      <xdr:spPr bwMode="auto">
        <a:xfrm>
          <a:off x="7048500" y="0"/>
          <a:ext cx="876300" cy="228600"/>
        </a:xfrm>
        <a:prstGeom prst="rect">
          <a:avLst/>
        </a:prstGeom>
        <a:solidFill>
          <a:srgbClr val="003366"/>
        </a:solidFill>
        <a:ln w="9525">
          <a:solidFill>
            <a:srgbClr val="FFFFFF"/>
          </a:solidFill>
          <a:miter lim="800000"/>
          <a:headEnd/>
          <a:tailEnd/>
        </a:ln>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zur Startseite</a:t>
          </a:r>
        </a:p>
      </xdr:txBody>
    </xdr:sp>
    <xdr:clientData fPrintsWithSheet="0"/>
  </xdr:twoCellAnchor>
  <xdr:twoCellAnchor>
    <xdr:from>
      <xdr:col>10</xdr:col>
      <xdr:colOff>0</xdr:colOff>
      <xdr:row>0</xdr:row>
      <xdr:rowOff>0</xdr:rowOff>
    </xdr:from>
    <xdr:to>
      <xdr:col>11</xdr:col>
      <xdr:colOff>0</xdr:colOff>
      <xdr:row>1</xdr:row>
      <xdr:rowOff>0</xdr:rowOff>
    </xdr:to>
    <xdr:sp macro="" textlink="">
      <xdr:nvSpPr>
        <xdr:cNvPr id="18436" name="Text Box 4">
          <a:hlinkClick xmlns:r="http://schemas.openxmlformats.org/officeDocument/2006/relationships" r:id="rId2"/>
          <a:extLst>
            <a:ext uri="{FF2B5EF4-FFF2-40B4-BE49-F238E27FC236}">
              <a16:creationId xmlns:a16="http://schemas.microsoft.com/office/drawing/2014/main" id="{00000000-0008-0000-0400-000004480000}"/>
            </a:ext>
          </a:extLst>
        </xdr:cNvPr>
        <xdr:cNvSpPr txBox="1">
          <a:spLocks noChangeArrowheads="1"/>
        </xdr:cNvSpPr>
      </xdr:nvSpPr>
      <xdr:spPr bwMode="auto">
        <a:xfrm>
          <a:off x="79248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weiter &gt;</a:t>
          </a:r>
        </a:p>
      </xdr:txBody>
    </xdr:sp>
    <xdr:clientData fPrintsWithSheet="0"/>
  </xdr:twoCellAnchor>
  <xdr:twoCellAnchor>
    <xdr:from>
      <xdr:col>8</xdr:col>
      <xdr:colOff>0</xdr:colOff>
      <xdr:row>0</xdr:row>
      <xdr:rowOff>0</xdr:rowOff>
    </xdr:from>
    <xdr:to>
      <xdr:col>9</xdr:col>
      <xdr:colOff>0</xdr:colOff>
      <xdr:row>1</xdr:row>
      <xdr:rowOff>0</xdr:rowOff>
    </xdr:to>
    <xdr:sp macro="" textlink="">
      <xdr:nvSpPr>
        <xdr:cNvPr id="18437" name="Text Box 5">
          <a:hlinkClick xmlns:r="http://schemas.openxmlformats.org/officeDocument/2006/relationships" r:id="rId3"/>
          <a:extLst>
            <a:ext uri="{FF2B5EF4-FFF2-40B4-BE49-F238E27FC236}">
              <a16:creationId xmlns:a16="http://schemas.microsoft.com/office/drawing/2014/main" id="{00000000-0008-0000-0400-000005480000}"/>
            </a:ext>
          </a:extLst>
        </xdr:cNvPr>
        <xdr:cNvSpPr txBox="1">
          <a:spLocks noChangeArrowheads="1"/>
        </xdr:cNvSpPr>
      </xdr:nvSpPr>
      <xdr:spPr bwMode="auto">
        <a:xfrm>
          <a:off x="61722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&lt; zurück</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9</xdr:col>
      <xdr:colOff>0</xdr:colOff>
      <xdr:row>0</xdr:row>
      <xdr:rowOff>0</xdr:rowOff>
    </xdr:from>
    <xdr:to>
      <xdr:col>10</xdr:col>
      <xdr:colOff>0</xdr:colOff>
      <xdr:row>1</xdr:row>
      <xdr:rowOff>0</xdr:rowOff>
    </xdr:to>
    <xdr:sp macro="" textlink="">
      <xdr:nvSpPr>
        <xdr:cNvPr id="44033" name="Text Box 1">
          <a:hlinkClick xmlns:r="http://schemas.openxmlformats.org/officeDocument/2006/relationships" r:id="rId1"/>
          <a:extLst>
            <a:ext uri="{FF2B5EF4-FFF2-40B4-BE49-F238E27FC236}">
              <a16:creationId xmlns:a16="http://schemas.microsoft.com/office/drawing/2014/main" id="{00000000-0008-0000-0500-000001AC0000}"/>
            </a:ext>
          </a:extLst>
        </xdr:cNvPr>
        <xdr:cNvSpPr txBox="1">
          <a:spLocks noChangeArrowheads="1"/>
        </xdr:cNvSpPr>
      </xdr:nvSpPr>
      <xdr:spPr bwMode="auto">
        <a:xfrm>
          <a:off x="78867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zum Jan &gt;</a:t>
          </a:r>
        </a:p>
      </xdr:txBody>
    </xdr:sp>
    <xdr:clientData fPrintsWithSheet="0"/>
  </xdr:twoCellAnchor>
  <xdr:twoCellAnchor>
    <xdr:from>
      <xdr:col>8</xdr:col>
      <xdr:colOff>0</xdr:colOff>
      <xdr:row>0</xdr:row>
      <xdr:rowOff>0</xdr:rowOff>
    </xdr:from>
    <xdr:to>
      <xdr:col>9</xdr:col>
      <xdr:colOff>0</xdr:colOff>
      <xdr:row>1</xdr:row>
      <xdr:rowOff>0</xdr:rowOff>
    </xdr:to>
    <xdr:sp macro="" textlink="">
      <xdr:nvSpPr>
        <xdr:cNvPr id="44035" name="Text Box 3">
          <a:hlinkClick xmlns:r="http://schemas.openxmlformats.org/officeDocument/2006/relationships" r:id="rId2"/>
          <a:extLst>
            <a:ext uri="{FF2B5EF4-FFF2-40B4-BE49-F238E27FC236}">
              <a16:creationId xmlns:a16="http://schemas.microsoft.com/office/drawing/2014/main" id="{00000000-0008-0000-0500-000003AC0000}"/>
            </a:ext>
          </a:extLst>
        </xdr:cNvPr>
        <xdr:cNvSpPr txBox="1">
          <a:spLocks noChangeArrowheads="1"/>
        </xdr:cNvSpPr>
      </xdr:nvSpPr>
      <xdr:spPr bwMode="auto">
        <a:xfrm>
          <a:off x="7010400" y="0"/>
          <a:ext cx="876300" cy="228600"/>
        </a:xfrm>
        <a:prstGeom prst="rect">
          <a:avLst/>
        </a:prstGeom>
        <a:solidFill>
          <a:srgbClr val="003366"/>
        </a:solidFill>
        <a:ln w="9525">
          <a:solidFill>
            <a:srgbClr val="FFFFFF"/>
          </a:solidFill>
          <a:miter lim="800000"/>
          <a:headEnd/>
          <a:tailEnd/>
        </a:ln>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zur Startseite</a:t>
          </a:r>
        </a:p>
      </xdr:txBody>
    </xdr:sp>
    <xdr:clientData fPrintsWithSheet="0"/>
  </xdr:twoCellAnchor>
  <xdr:twoCellAnchor>
    <xdr:from>
      <xdr:col>7</xdr:col>
      <xdr:colOff>0</xdr:colOff>
      <xdr:row>0</xdr:row>
      <xdr:rowOff>0</xdr:rowOff>
    </xdr:from>
    <xdr:to>
      <xdr:col>8</xdr:col>
      <xdr:colOff>0</xdr:colOff>
      <xdr:row>1</xdr:row>
      <xdr:rowOff>0</xdr:rowOff>
    </xdr:to>
    <xdr:sp macro="" textlink="">
      <xdr:nvSpPr>
        <xdr:cNvPr id="44036" name="Text Box 4">
          <a:hlinkClick xmlns:r="http://schemas.openxmlformats.org/officeDocument/2006/relationships" r:id="rId3"/>
          <a:extLst>
            <a:ext uri="{FF2B5EF4-FFF2-40B4-BE49-F238E27FC236}">
              <a16:creationId xmlns:a16="http://schemas.microsoft.com/office/drawing/2014/main" id="{00000000-0008-0000-0500-000004AC0000}"/>
            </a:ext>
          </a:extLst>
        </xdr:cNvPr>
        <xdr:cNvSpPr txBox="1">
          <a:spLocks noChangeArrowheads="1"/>
        </xdr:cNvSpPr>
      </xdr:nvSpPr>
      <xdr:spPr bwMode="auto">
        <a:xfrm>
          <a:off x="61341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&lt; zurück</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11</xdr:col>
      <xdr:colOff>254000</xdr:colOff>
      <xdr:row>0</xdr:row>
      <xdr:rowOff>0</xdr:rowOff>
    </xdr:from>
    <xdr:to>
      <xdr:col>12</xdr:col>
      <xdr:colOff>176</xdr:colOff>
      <xdr:row>1</xdr:row>
      <xdr:rowOff>0</xdr:rowOff>
    </xdr:to>
    <xdr:sp macro="" textlink="">
      <xdr:nvSpPr>
        <xdr:cNvPr id="42012" name="Text Box 28">
          <a:hlinkClick xmlns:r="http://schemas.openxmlformats.org/officeDocument/2006/relationships" r:id="rId1"/>
          <a:extLst>
            <a:ext uri="{FF2B5EF4-FFF2-40B4-BE49-F238E27FC236}">
              <a16:creationId xmlns:a16="http://schemas.microsoft.com/office/drawing/2014/main" id="{00000000-0008-0000-0600-00001CA40000}"/>
            </a:ext>
          </a:extLst>
        </xdr:cNvPr>
        <xdr:cNvSpPr txBox="1">
          <a:spLocks noChangeArrowheads="1"/>
        </xdr:cNvSpPr>
      </xdr:nvSpPr>
      <xdr:spPr bwMode="auto">
        <a:xfrm>
          <a:off x="9372600" y="0"/>
          <a:ext cx="787400" cy="228600"/>
        </a:xfrm>
        <a:prstGeom prst="rect">
          <a:avLst/>
        </a:prstGeom>
        <a:solidFill>
          <a:srgbClr val="003366"/>
        </a:solidFill>
        <a:ln w="9525">
          <a:solidFill>
            <a:srgbClr val="FFFFFF"/>
          </a:solidFill>
          <a:miter lim="800000"/>
          <a:headEnd/>
          <a:tailEnd/>
        </a:ln>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&lt; zurück</a:t>
          </a:r>
        </a:p>
      </xdr:txBody>
    </xdr:sp>
    <xdr:clientData fPrintsWithSheet="0"/>
  </xdr:twoCellAnchor>
  <xdr:twoCellAnchor>
    <xdr:from>
      <xdr:col>12</xdr:col>
      <xdr:colOff>0</xdr:colOff>
      <xdr:row>0</xdr:row>
      <xdr:rowOff>0</xdr:rowOff>
    </xdr:from>
    <xdr:to>
      <xdr:col>13</xdr:col>
      <xdr:colOff>0</xdr:colOff>
      <xdr:row>1</xdr:row>
      <xdr:rowOff>0</xdr:rowOff>
    </xdr:to>
    <xdr:sp macro="" textlink="">
      <xdr:nvSpPr>
        <xdr:cNvPr id="42013" name="Text Box 29">
          <a:hlinkClick xmlns:r="http://schemas.openxmlformats.org/officeDocument/2006/relationships" r:id="rId2"/>
          <a:extLst>
            <a:ext uri="{FF2B5EF4-FFF2-40B4-BE49-F238E27FC236}">
              <a16:creationId xmlns:a16="http://schemas.microsoft.com/office/drawing/2014/main" id="{00000000-0008-0000-0600-00001DA40000}"/>
            </a:ext>
          </a:extLst>
        </xdr:cNvPr>
        <xdr:cNvSpPr txBox="1">
          <a:spLocks noChangeArrowheads="1"/>
        </xdr:cNvSpPr>
      </xdr:nvSpPr>
      <xdr:spPr bwMode="auto">
        <a:xfrm>
          <a:off x="10160000" y="0"/>
          <a:ext cx="10414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zur Startseite</a:t>
          </a:r>
        </a:p>
      </xdr:txBody>
    </xdr:sp>
    <xdr:clientData fPrintsWithSheet="0"/>
  </xdr:twoCellAnchor>
  <xdr:twoCellAnchor>
    <xdr:from>
      <xdr:col>13</xdr:col>
      <xdr:colOff>0</xdr:colOff>
      <xdr:row>0</xdr:row>
      <xdr:rowOff>0</xdr:rowOff>
    </xdr:from>
    <xdr:to>
      <xdr:col>13</xdr:col>
      <xdr:colOff>860437</xdr:colOff>
      <xdr:row>1</xdr:row>
      <xdr:rowOff>0</xdr:rowOff>
    </xdr:to>
    <xdr:sp macro="" textlink="">
      <xdr:nvSpPr>
        <xdr:cNvPr id="42014" name="Text Box 30">
          <a:hlinkClick xmlns:r="http://schemas.openxmlformats.org/officeDocument/2006/relationships" r:id="rId3"/>
          <a:extLst>
            <a:ext uri="{FF2B5EF4-FFF2-40B4-BE49-F238E27FC236}">
              <a16:creationId xmlns:a16="http://schemas.microsoft.com/office/drawing/2014/main" id="{00000000-0008-0000-0600-00001EA40000}"/>
            </a:ext>
          </a:extLst>
        </xdr:cNvPr>
        <xdr:cNvSpPr txBox="1">
          <a:spLocks noChangeArrowheads="1"/>
        </xdr:cNvSpPr>
      </xdr:nvSpPr>
      <xdr:spPr bwMode="auto">
        <a:xfrm>
          <a:off x="11201400" y="0"/>
          <a:ext cx="8636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weiter &gt;</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2</xdr:col>
      <xdr:colOff>38100</xdr:colOff>
      <xdr:row>29</xdr:row>
      <xdr:rowOff>50800</xdr:rowOff>
    </xdr:from>
    <xdr:to>
      <xdr:col>9</xdr:col>
      <xdr:colOff>1397000</xdr:colOff>
      <xdr:row>49</xdr:row>
      <xdr:rowOff>25400</xdr:rowOff>
    </xdr:to>
    <xdr:graphicFrame macro="">
      <xdr:nvGraphicFramePr>
        <xdr:cNvPr id="2468941" name="Chart 6">
          <a:extLst>
            <a:ext uri="{FF2B5EF4-FFF2-40B4-BE49-F238E27FC236}">
              <a16:creationId xmlns:a16="http://schemas.microsoft.com/office/drawing/2014/main" id="{00000000-0008-0000-0700-00004DAC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0</xdr:row>
      <xdr:rowOff>0</xdr:rowOff>
    </xdr:from>
    <xdr:to>
      <xdr:col>13</xdr:col>
      <xdr:colOff>0</xdr:colOff>
      <xdr:row>1</xdr:row>
      <xdr:rowOff>0</xdr:rowOff>
    </xdr:to>
    <xdr:sp macro="" textlink="">
      <xdr:nvSpPr>
        <xdr:cNvPr id="47286" name="Text Box 182">
          <a:hlinkClick xmlns:r="http://schemas.openxmlformats.org/officeDocument/2006/relationships" r:id="rId2"/>
          <a:extLst>
            <a:ext uri="{FF2B5EF4-FFF2-40B4-BE49-F238E27FC236}">
              <a16:creationId xmlns:a16="http://schemas.microsoft.com/office/drawing/2014/main" id="{00000000-0008-0000-0700-0000B6B80000}"/>
            </a:ext>
          </a:extLst>
        </xdr:cNvPr>
        <xdr:cNvSpPr txBox="1">
          <a:spLocks noChangeArrowheads="1"/>
        </xdr:cNvSpPr>
      </xdr:nvSpPr>
      <xdr:spPr bwMode="auto">
        <a:xfrm>
          <a:off x="8559800" y="0"/>
          <a:ext cx="876300" cy="228600"/>
        </a:xfrm>
        <a:prstGeom prst="rect">
          <a:avLst/>
        </a:prstGeom>
        <a:solidFill>
          <a:srgbClr val="003366"/>
        </a:solidFill>
        <a:ln w="9525">
          <a:solidFill>
            <a:srgbClr val="FFFFFF"/>
          </a:solidFill>
          <a:miter lim="800000"/>
          <a:headEnd/>
          <a:tailEnd/>
        </a:ln>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&lt; Bericht F</a:t>
          </a:r>
        </a:p>
      </xdr:txBody>
    </xdr:sp>
    <xdr:clientData/>
  </xdr:twoCellAnchor>
  <xdr:twoCellAnchor>
    <xdr:from>
      <xdr:col>13</xdr:col>
      <xdr:colOff>0</xdr:colOff>
      <xdr:row>0</xdr:row>
      <xdr:rowOff>0</xdr:rowOff>
    </xdr:from>
    <xdr:to>
      <xdr:col>14</xdr:col>
      <xdr:colOff>0</xdr:colOff>
      <xdr:row>1</xdr:row>
      <xdr:rowOff>0</xdr:rowOff>
    </xdr:to>
    <xdr:sp macro="" textlink="">
      <xdr:nvSpPr>
        <xdr:cNvPr id="47287" name="Text Box 183">
          <a:hlinkClick xmlns:r="http://schemas.openxmlformats.org/officeDocument/2006/relationships" r:id="rId3"/>
          <a:extLst>
            <a:ext uri="{FF2B5EF4-FFF2-40B4-BE49-F238E27FC236}">
              <a16:creationId xmlns:a16="http://schemas.microsoft.com/office/drawing/2014/main" id="{00000000-0008-0000-0700-0000B7B80000}"/>
            </a:ext>
          </a:extLst>
        </xdr:cNvPr>
        <xdr:cNvSpPr txBox="1">
          <a:spLocks noChangeArrowheads="1"/>
        </xdr:cNvSpPr>
      </xdr:nvSpPr>
      <xdr:spPr bwMode="auto">
        <a:xfrm>
          <a:off x="94361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zur Startseite</a:t>
          </a:r>
        </a:p>
      </xdr:txBody>
    </xdr:sp>
    <xdr:clientData/>
  </xdr:twoCellAnchor>
  <xdr:twoCellAnchor>
    <xdr:from>
      <xdr:col>14</xdr:col>
      <xdr:colOff>0</xdr:colOff>
      <xdr:row>0</xdr:row>
      <xdr:rowOff>0</xdr:rowOff>
    </xdr:from>
    <xdr:to>
      <xdr:col>15</xdr:col>
      <xdr:colOff>0</xdr:colOff>
      <xdr:row>1</xdr:row>
      <xdr:rowOff>0</xdr:rowOff>
    </xdr:to>
    <xdr:sp macro="" textlink="">
      <xdr:nvSpPr>
        <xdr:cNvPr id="47288" name="Text Box 184">
          <a:hlinkClick xmlns:r="http://schemas.openxmlformats.org/officeDocument/2006/relationships" r:id="rId4"/>
          <a:extLst>
            <a:ext uri="{FF2B5EF4-FFF2-40B4-BE49-F238E27FC236}">
              <a16:creationId xmlns:a16="http://schemas.microsoft.com/office/drawing/2014/main" id="{00000000-0008-0000-0700-0000B8B80000}"/>
            </a:ext>
          </a:extLst>
        </xdr:cNvPr>
        <xdr:cNvSpPr txBox="1">
          <a:spLocks noChangeArrowheads="1"/>
        </xdr:cNvSpPr>
      </xdr:nvSpPr>
      <xdr:spPr bwMode="auto">
        <a:xfrm>
          <a:off x="103124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weiter &gt;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4</xdr:row>
      <xdr:rowOff>88900</xdr:rowOff>
    </xdr:from>
    <xdr:to>
      <xdr:col>10</xdr:col>
      <xdr:colOff>114300</xdr:colOff>
      <xdr:row>59</xdr:row>
      <xdr:rowOff>76200</xdr:rowOff>
    </xdr:to>
    <xdr:graphicFrame macro="">
      <xdr:nvGraphicFramePr>
        <xdr:cNvPr id="2519087" name="Chart 3">
          <a:extLst>
            <a:ext uri="{FF2B5EF4-FFF2-40B4-BE49-F238E27FC236}">
              <a16:creationId xmlns:a16="http://schemas.microsoft.com/office/drawing/2014/main" id="{00000000-0008-0000-0800-00002F702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0</xdr:row>
      <xdr:rowOff>0</xdr:rowOff>
    </xdr:from>
    <xdr:to>
      <xdr:col>12</xdr:col>
      <xdr:colOff>0</xdr:colOff>
      <xdr:row>1</xdr:row>
      <xdr:rowOff>0</xdr:rowOff>
    </xdr:to>
    <xdr:sp macro="" textlink="">
      <xdr:nvSpPr>
        <xdr:cNvPr id="48279" name="Text Box 151">
          <a:hlinkClick xmlns:r="http://schemas.openxmlformats.org/officeDocument/2006/relationships" r:id="rId2"/>
          <a:extLst>
            <a:ext uri="{FF2B5EF4-FFF2-40B4-BE49-F238E27FC236}">
              <a16:creationId xmlns:a16="http://schemas.microsoft.com/office/drawing/2014/main" id="{00000000-0008-0000-0800-000097BC0000}"/>
            </a:ext>
          </a:extLst>
        </xdr:cNvPr>
        <xdr:cNvSpPr txBox="1">
          <a:spLocks noChangeArrowheads="1"/>
        </xdr:cNvSpPr>
      </xdr:nvSpPr>
      <xdr:spPr bwMode="auto">
        <a:xfrm>
          <a:off x="9080500" y="0"/>
          <a:ext cx="876300" cy="228600"/>
        </a:xfrm>
        <a:prstGeom prst="rect">
          <a:avLst/>
        </a:prstGeom>
        <a:solidFill>
          <a:srgbClr val="003366"/>
        </a:solidFill>
        <a:ln w="9525">
          <a:solidFill>
            <a:srgbClr val="FFFFFF"/>
          </a:solidFill>
          <a:miter lim="800000"/>
          <a:headEnd/>
          <a:tailEnd/>
        </a:ln>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&lt; zurück</a:t>
          </a:r>
        </a:p>
      </xdr:txBody>
    </xdr:sp>
    <xdr:clientData/>
  </xdr:twoCellAnchor>
  <xdr:twoCellAnchor>
    <xdr:from>
      <xdr:col>12</xdr:col>
      <xdr:colOff>0</xdr:colOff>
      <xdr:row>0</xdr:row>
      <xdr:rowOff>0</xdr:rowOff>
    </xdr:from>
    <xdr:to>
      <xdr:col>13</xdr:col>
      <xdr:colOff>0</xdr:colOff>
      <xdr:row>1</xdr:row>
      <xdr:rowOff>0</xdr:rowOff>
    </xdr:to>
    <xdr:sp macro="" textlink="">
      <xdr:nvSpPr>
        <xdr:cNvPr id="48280" name="Text Box 152">
          <a:hlinkClick xmlns:r="http://schemas.openxmlformats.org/officeDocument/2006/relationships" r:id="rId3"/>
          <a:extLst>
            <a:ext uri="{FF2B5EF4-FFF2-40B4-BE49-F238E27FC236}">
              <a16:creationId xmlns:a16="http://schemas.microsoft.com/office/drawing/2014/main" id="{00000000-0008-0000-0800-000098BC0000}"/>
            </a:ext>
          </a:extLst>
        </xdr:cNvPr>
        <xdr:cNvSpPr txBox="1">
          <a:spLocks noChangeArrowheads="1"/>
        </xdr:cNvSpPr>
      </xdr:nvSpPr>
      <xdr:spPr bwMode="auto">
        <a:xfrm>
          <a:off x="99568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zur Startseite</a:t>
          </a:r>
        </a:p>
      </xdr:txBody>
    </xdr:sp>
    <xdr:clientData/>
  </xdr:twoCellAnchor>
  <xdr:twoCellAnchor>
    <xdr:from>
      <xdr:col>13</xdr:col>
      <xdr:colOff>0</xdr:colOff>
      <xdr:row>0</xdr:row>
      <xdr:rowOff>0</xdr:rowOff>
    </xdr:from>
    <xdr:to>
      <xdr:col>14</xdr:col>
      <xdr:colOff>0</xdr:colOff>
      <xdr:row>1</xdr:row>
      <xdr:rowOff>0</xdr:rowOff>
    </xdr:to>
    <xdr:sp macro="" textlink="">
      <xdr:nvSpPr>
        <xdr:cNvPr id="48281" name="Text Box 153">
          <a:hlinkClick xmlns:r="http://schemas.openxmlformats.org/officeDocument/2006/relationships" r:id="rId4"/>
          <a:extLst>
            <a:ext uri="{FF2B5EF4-FFF2-40B4-BE49-F238E27FC236}">
              <a16:creationId xmlns:a16="http://schemas.microsoft.com/office/drawing/2014/main" id="{00000000-0008-0000-0800-000099BC0000}"/>
            </a:ext>
          </a:extLst>
        </xdr:cNvPr>
        <xdr:cNvSpPr txBox="1">
          <a:spLocks noChangeArrowheads="1"/>
        </xdr:cNvSpPr>
      </xdr:nvSpPr>
      <xdr:spPr bwMode="auto">
        <a:xfrm>
          <a:off x="108331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weiter &gt;</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
  <sheetViews>
    <sheetView showGridLines="0" showRowColHeaders="0" showOutlineSymbols="0" workbookViewId="0"/>
  </sheetViews>
  <sheetFormatPr baseColWidth="10" defaultColWidth="11.42578125" defaultRowHeight="12.75" x14ac:dyDescent="0.2"/>
  <cols>
    <col min="1" max="16384" width="11.42578125" style="321"/>
  </cols>
  <sheetData>
    <row r="1" ht="20.25" customHeight="1" x14ac:dyDescent="0.2"/>
  </sheetData>
  <sheetProtection algorithmName="SHA-512" hashValue="hybTgwm67FhTxnyyHA0B3VDMHoLu5c+d1VEDXeLJr5h/CW6s+rpPWxBbTlSmcwJ1gDaoUiSkgpkhKpkzOL7rEg==" saltValue="PcDj58UMYzC8kMHja9q2SA==" spinCount="100000" sheet="1" selectLockedCells="1"/>
  <phoneticPr fontId="36" type="noConversion"/>
  <pageMargins left="0.78740157499999996" right="0.78740157499999996" top="0.984251969" bottom="0.984251969" header="0.4921259845" footer="0.4921259845"/>
  <pageSetup paperSize="9" orientation="portrait"/>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pageSetUpPr fitToPage="1"/>
  </sheetPr>
  <dimension ref="B1:M23"/>
  <sheetViews>
    <sheetView showGridLines="0" showRowColHeaders="0" showOutlineSymbols="0" workbookViewId="0">
      <pane ySplit="2" topLeftCell="A3" activePane="bottomLeft" state="frozen"/>
      <selection activeCell="B7" sqref="B7:C7"/>
      <selection pane="bottomLeft"/>
    </sheetView>
  </sheetViews>
  <sheetFormatPr baseColWidth="10" defaultColWidth="11.42578125" defaultRowHeight="12.75" x14ac:dyDescent="0.2"/>
  <cols>
    <col min="1" max="1" width="5.7109375" style="8" customWidth="1"/>
    <col min="2" max="4" width="11.42578125" style="8"/>
    <col min="5" max="5" width="12" style="8" bestFit="1" customWidth="1"/>
    <col min="6" max="16" width="11.42578125" style="8"/>
    <col min="17" max="17" width="13.85546875" style="8" customWidth="1"/>
    <col min="18" max="18" width="11.42578125" style="8"/>
    <col min="19" max="20" width="13.140625" style="8" customWidth="1"/>
    <col min="21" max="21" width="11.85546875" style="8" customWidth="1"/>
    <col min="22" max="16384" width="11.42578125" style="8"/>
  </cols>
  <sheetData>
    <row r="1" spans="2:13" ht="18.75" thickBot="1" x14ac:dyDescent="0.25">
      <c r="B1" s="1" t="s">
        <v>363</v>
      </c>
      <c r="C1" s="2"/>
      <c r="D1" s="267"/>
      <c r="E1" s="268"/>
      <c r="F1" s="2"/>
      <c r="G1" s="2"/>
      <c r="H1" s="13"/>
      <c r="J1" s="263"/>
    </row>
    <row r="2" spans="2:13" ht="18.75" thickBot="1" x14ac:dyDescent="0.25">
      <c r="B2" s="9" t="str">
        <f>CONCATENATE("Arbeitszeit ",Berichtsjahr," von ",Mitarbeiter)</f>
        <v>Arbeitszeit 2026 von Max Muster, Musterstelle</v>
      </c>
      <c r="C2" s="10"/>
      <c r="D2" s="237"/>
      <c r="E2" s="11"/>
      <c r="F2" s="12"/>
      <c r="G2" s="12"/>
      <c r="H2" s="12"/>
      <c r="I2" s="238"/>
    </row>
    <row r="4" spans="2:13" x14ac:dyDescent="0.2">
      <c r="B4" s="34" t="s">
        <v>364</v>
      </c>
      <c r="E4" s="1249" t="s">
        <v>365</v>
      </c>
      <c r="F4" s="1249"/>
      <c r="G4" s="1250" t="s">
        <v>366</v>
      </c>
      <c r="H4" s="1250"/>
    </row>
    <row r="6" spans="2:13" ht="15" customHeight="1" x14ac:dyDescent="0.2">
      <c r="B6" s="781" t="s">
        <v>367</v>
      </c>
      <c r="C6" s="998" t="s">
        <v>79</v>
      </c>
      <c r="D6" s="999" t="s">
        <v>368</v>
      </c>
      <c r="E6" s="1000">
        <f>Januar!D19</f>
        <v>6.9444444444444447E-4</v>
      </c>
      <c r="F6" s="785" t="s">
        <v>99</v>
      </c>
      <c r="G6" s="1001">
        <f>Januar!D22</f>
        <v>8.0499999999999989</v>
      </c>
      <c r="H6" s="1002" t="s">
        <v>99</v>
      </c>
      <c r="K6" s="1243" t="s">
        <v>369</v>
      </c>
      <c r="L6" s="1243"/>
      <c r="M6" s="1243"/>
    </row>
    <row r="7" spans="2:13" ht="15" customHeight="1" x14ac:dyDescent="0.2">
      <c r="B7" s="781" t="s">
        <v>370</v>
      </c>
      <c r="C7" s="998" t="s">
        <v>79</v>
      </c>
      <c r="D7" s="999" t="s">
        <v>371</v>
      </c>
      <c r="E7" s="1003">
        <f ca="1">ctJahresuebersicht!F18</f>
        <v>0</v>
      </c>
      <c r="F7" s="785" t="s">
        <v>99</v>
      </c>
      <c r="G7" s="1004">
        <f>Februar!D22</f>
        <v>8.0500000000000007</v>
      </c>
      <c r="H7" s="1002" t="s">
        <v>99</v>
      </c>
      <c r="K7" s="1243"/>
      <c r="L7" s="1243"/>
      <c r="M7" s="1243"/>
    </row>
    <row r="8" spans="2:13" ht="15" customHeight="1" x14ac:dyDescent="0.2">
      <c r="B8" s="781" t="s">
        <v>372</v>
      </c>
      <c r="C8" s="998" t="s">
        <v>79</v>
      </c>
      <c r="D8" s="999" t="s">
        <v>373</v>
      </c>
      <c r="E8" s="1003">
        <f ca="1">ctJahresuebersicht!G18</f>
        <v>0</v>
      </c>
      <c r="F8" s="785" t="s">
        <v>99</v>
      </c>
      <c r="G8" s="1004">
        <f>Maerz!D22</f>
        <v>8.0500000000000007</v>
      </c>
      <c r="H8" s="1002" t="s">
        <v>99</v>
      </c>
      <c r="K8" s="1243"/>
      <c r="L8" s="1243"/>
      <c r="M8" s="1243"/>
    </row>
    <row r="9" spans="2:13" ht="15" customHeight="1" x14ac:dyDescent="0.2">
      <c r="B9" s="781" t="s">
        <v>374</v>
      </c>
      <c r="C9" s="998" t="s">
        <v>79</v>
      </c>
      <c r="D9" s="999" t="s">
        <v>375</v>
      </c>
      <c r="E9" s="1003">
        <f ca="1">ctJahresuebersicht!H18</f>
        <v>0</v>
      </c>
      <c r="F9" s="785" t="s">
        <v>99</v>
      </c>
      <c r="G9" s="1004">
        <f>April!D22</f>
        <v>8.0500000000000007</v>
      </c>
      <c r="H9" s="1002" t="s">
        <v>99</v>
      </c>
      <c r="K9" s="1243"/>
      <c r="L9" s="1243"/>
      <c r="M9" s="1243"/>
    </row>
    <row r="10" spans="2:13" ht="15" customHeight="1" x14ac:dyDescent="0.2">
      <c r="B10" s="781" t="s">
        <v>376</v>
      </c>
      <c r="C10" s="998" t="s">
        <v>79</v>
      </c>
      <c r="D10" s="999" t="s">
        <v>377</v>
      </c>
      <c r="E10" s="1003">
        <f ca="1">ctJahresuebersicht!I18</f>
        <v>0</v>
      </c>
      <c r="F10" s="785" t="s">
        <v>99</v>
      </c>
      <c r="G10" s="1004">
        <f>Mai!D22</f>
        <v>8.0500000000000007</v>
      </c>
      <c r="H10" s="1002" t="s">
        <v>99</v>
      </c>
      <c r="K10" s="1243"/>
      <c r="L10" s="1243"/>
      <c r="M10" s="1243"/>
    </row>
    <row r="11" spans="2:13" ht="15" customHeight="1" x14ac:dyDescent="0.2">
      <c r="B11" s="781" t="s">
        <v>378</v>
      </c>
      <c r="C11" s="998" t="s">
        <v>79</v>
      </c>
      <c r="D11" s="999" t="s">
        <v>379</v>
      </c>
      <c r="E11" s="1003">
        <f ca="1">ctJahresuebersicht!J18</f>
        <v>0</v>
      </c>
      <c r="F11" s="785" t="s">
        <v>99</v>
      </c>
      <c r="G11" s="1004">
        <f>Juni!D22</f>
        <v>8.0500000000000007</v>
      </c>
      <c r="H11" s="1002" t="s">
        <v>99</v>
      </c>
      <c r="K11" s="1243"/>
      <c r="L11" s="1243"/>
      <c r="M11" s="1243"/>
    </row>
    <row r="12" spans="2:13" ht="15" customHeight="1" x14ac:dyDescent="0.2">
      <c r="B12" s="781" t="s">
        <v>380</v>
      </c>
      <c r="C12" s="998" t="s">
        <v>79</v>
      </c>
      <c r="D12" s="999" t="s">
        <v>381</v>
      </c>
      <c r="E12" s="1003">
        <f ca="1">ctJahresuebersicht!K18</f>
        <v>0</v>
      </c>
      <c r="F12" s="785" t="s">
        <v>99</v>
      </c>
      <c r="G12" s="1004">
        <f>Juli!D22</f>
        <v>8.0500000000000007</v>
      </c>
      <c r="H12" s="1002" t="s">
        <v>99</v>
      </c>
      <c r="K12" s="1243"/>
      <c r="L12" s="1243"/>
      <c r="M12" s="1243"/>
    </row>
    <row r="13" spans="2:13" ht="15" customHeight="1" x14ac:dyDescent="0.2">
      <c r="B13" s="781" t="s">
        <v>382</v>
      </c>
      <c r="C13" s="998" t="s">
        <v>79</v>
      </c>
      <c r="D13" s="999" t="s">
        <v>383</v>
      </c>
      <c r="E13" s="1003">
        <f ca="1">ctJahresuebersicht!L18</f>
        <v>0</v>
      </c>
      <c r="F13" s="785" t="s">
        <v>99</v>
      </c>
      <c r="G13" s="1004">
        <f>August!D22</f>
        <v>8.0500000000000007</v>
      </c>
      <c r="H13" s="1002" t="s">
        <v>99</v>
      </c>
      <c r="K13" s="1243"/>
      <c r="L13" s="1243"/>
      <c r="M13" s="1243"/>
    </row>
    <row r="14" spans="2:13" ht="15" customHeight="1" x14ac:dyDescent="0.2">
      <c r="B14" s="781" t="s">
        <v>384</v>
      </c>
      <c r="C14" s="998" t="s">
        <v>79</v>
      </c>
      <c r="D14" s="999" t="s">
        <v>385</v>
      </c>
      <c r="E14" s="1003">
        <f ca="1">ctJahresuebersicht!M18</f>
        <v>0</v>
      </c>
      <c r="F14" s="785" t="s">
        <v>99</v>
      </c>
      <c r="G14" s="1004">
        <f>September!D22</f>
        <v>8.0500000000000007</v>
      </c>
      <c r="H14" s="1002" t="s">
        <v>99</v>
      </c>
      <c r="K14" s="1243"/>
      <c r="L14" s="1243"/>
      <c r="M14" s="1243"/>
    </row>
    <row r="15" spans="2:13" ht="15" customHeight="1" x14ac:dyDescent="0.2">
      <c r="B15" s="781" t="s">
        <v>386</v>
      </c>
      <c r="C15" s="998" t="s">
        <v>79</v>
      </c>
      <c r="D15" s="999" t="s">
        <v>387</v>
      </c>
      <c r="E15" s="1003">
        <f ca="1">ctJahresuebersicht!N18</f>
        <v>0</v>
      </c>
      <c r="F15" s="785" t="s">
        <v>99</v>
      </c>
      <c r="G15" s="1004">
        <f>Oktober!D22</f>
        <v>8.0500000000000007</v>
      </c>
      <c r="H15" s="1002" t="s">
        <v>99</v>
      </c>
      <c r="K15" s="1243"/>
      <c r="L15" s="1243"/>
      <c r="M15" s="1243"/>
    </row>
    <row r="16" spans="2:13" ht="15" customHeight="1" x14ac:dyDescent="0.2">
      <c r="B16" s="781" t="s">
        <v>388</v>
      </c>
      <c r="C16" s="998" t="s">
        <v>79</v>
      </c>
      <c r="D16" s="999" t="s">
        <v>389</v>
      </c>
      <c r="E16" s="1003">
        <f ca="1">ctJahresuebersicht!O18</f>
        <v>0</v>
      </c>
      <c r="F16" s="785" t="s">
        <v>99</v>
      </c>
      <c r="G16" s="1004">
        <f>November!D22</f>
        <v>8.0500000000000007</v>
      </c>
      <c r="H16" s="1002" t="s">
        <v>99</v>
      </c>
      <c r="K16" s="1243"/>
      <c r="L16" s="1243"/>
      <c r="M16" s="1243"/>
    </row>
    <row r="17" spans="2:13" ht="15" customHeight="1" x14ac:dyDescent="0.2">
      <c r="B17" s="781" t="s">
        <v>390</v>
      </c>
      <c r="C17" s="998" t="s">
        <v>79</v>
      </c>
      <c r="D17" s="999" t="s">
        <v>391</v>
      </c>
      <c r="E17" s="1003">
        <f ca="1">ctJahresuebersicht!P18</f>
        <v>0</v>
      </c>
      <c r="F17" s="785" t="s">
        <v>99</v>
      </c>
      <c r="G17" s="1004">
        <f>Dezember!D22</f>
        <v>8.0500000000000007</v>
      </c>
      <c r="H17" s="1002" t="s">
        <v>99</v>
      </c>
      <c r="K17" s="1243"/>
      <c r="L17" s="1243"/>
      <c r="M17" s="1243"/>
    </row>
    <row r="18" spans="2:13" ht="15" customHeight="1" x14ac:dyDescent="0.2">
      <c r="B18" s="781" t="s">
        <v>392</v>
      </c>
      <c r="C18" s="998" t="s">
        <v>79</v>
      </c>
      <c r="D18" s="999" t="s">
        <v>393</v>
      </c>
      <c r="E18" s="1003">
        <f ca="1">ctJahresuebersicht!Q18</f>
        <v>0</v>
      </c>
      <c r="F18" s="785" t="s">
        <v>99</v>
      </c>
      <c r="G18" s="1004">
        <f>Dezember!AK22</f>
        <v>8.0500000000000007</v>
      </c>
      <c r="H18" s="1002" t="s">
        <v>99</v>
      </c>
      <c r="K18" s="1243"/>
      <c r="L18" s="1243"/>
      <c r="M18" s="1243"/>
    </row>
    <row r="19" spans="2:13" x14ac:dyDescent="0.2">
      <c r="K19" s="1243"/>
      <c r="L19" s="1243"/>
      <c r="M19" s="1243"/>
    </row>
    <row r="20" spans="2:13" x14ac:dyDescent="0.2">
      <c r="K20" s="1243"/>
      <c r="L20" s="1243"/>
      <c r="M20" s="1243"/>
    </row>
    <row r="21" spans="2:13" x14ac:dyDescent="0.2">
      <c r="K21" s="1243"/>
      <c r="L21" s="1243"/>
      <c r="M21" s="1243"/>
    </row>
    <row r="22" spans="2:13" x14ac:dyDescent="0.2">
      <c r="B22" s="34" t="s">
        <v>394</v>
      </c>
      <c r="K22" s="1243"/>
      <c r="L22" s="1243"/>
      <c r="M22" s="1243"/>
    </row>
    <row r="23" spans="2:13" x14ac:dyDescent="0.2">
      <c r="K23" s="1243"/>
      <c r="L23" s="1243"/>
      <c r="M23" s="1243"/>
    </row>
  </sheetData>
  <sheetProtection algorithmName="SHA-512" hashValue="Kx39RDD8EuHldIp0ZEBFlpmQ1EuB+umCxkoygjcZB/8TgK3374btR5rIpoTJvT/w+VFwrhWCAXn0JvefZqjRzQ==" saltValue="zLJWbqgZ3NYn8aB5A/X4Hw==" spinCount="100000" sheet="1" selectLockedCells="1"/>
  <mergeCells count="3">
    <mergeCell ref="K6:M23"/>
    <mergeCell ref="E4:F4"/>
    <mergeCell ref="G4:H4"/>
  </mergeCells>
  <phoneticPr fontId="36" type="noConversion"/>
  <conditionalFormatting sqref="E6:E18 G6:G18">
    <cfRule type="cellIs" dxfId="305" priority="1" stopIfTrue="1" operator="lessThan">
      <formula>0</formula>
    </cfRule>
  </conditionalFormatting>
  <dataValidations count="1">
    <dataValidation type="custom" allowBlank="1" showInputMessage="1" showErrorMessage="1" sqref="K2" xr:uid="{00000000-0002-0000-0900-000000000000}">
      <formula1>BerichtListe</formula1>
    </dataValidation>
  </dataValidations>
  <printOptions horizontalCentered="1" verticalCentered="1"/>
  <pageMargins left="0.78740157480314965" right="0.78740157480314965" top="0.98425196850393704" bottom="0.98425196850393704" header="0.51181102362204722" footer="0.51181102362204722"/>
  <pageSetup paperSize="9" scale="94" orientation="portrait"/>
  <headerFoot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pageSetUpPr fitToPage="1"/>
  </sheetPr>
  <dimension ref="B1:O100"/>
  <sheetViews>
    <sheetView showGridLines="0" showRowColHeaders="0" showOutlineSymbols="0" workbookViewId="0">
      <pane ySplit="2" topLeftCell="A4" activePane="bottomLeft" state="frozen"/>
      <selection activeCell="B7" sqref="B7:C7"/>
      <selection pane="bottomLeft" activeCell="H51" sqref="H51"/>
    </sheetView>
  </sheetViews>
  <sheetFormatPr baseColWidth="10" defaultColWidth="10.85546875" defaultRowHeight="12.75" x14ac:dyDescent="0.2"/>
  <cols>
    <col min="1" max="1" width="5.7109375" style="8" customWidth="1"/>
    <col min="2" max="2" width="36" style="8" customWidth="1"/>
    <col min="3" max="3" width="1.42578125" style="8" customWidth="1"/>
    <col min="4" max="4" width="15.85546875" style="8" customWidth="1"/>
    <col min="5" max="5" width="1.42578125" style="8" customWidth="1"/>
    <col min="6" max="6" width="9.42578125" style="14" customWidth="1"/>
    <col min="7" max="7" width="1.42578125" style="8" customWidth="1"/>
    <col min="8" max="8" width="13.7109375" style="8" customWidth="1"/>
    <col min="9" max="9" width="1.85546875" style="8" customWidth="1"/>
    <col min="10" max="10" width="20" style="8" bestFit="1" customWidth="1"/>
    <col min="11" max="11" width="10.85546875" style="8" customWidth="1"/>
    <col min="12" max="14" width="11.42578125" style="8" customWidth="1"/>
    <col min="15" max="16384" width="10.85546875" style="8"/>
  </cols>
  <sheetData>
    <row r="1" spans="2:15" ht="18.75" thickBot="1" x14ac:dyDescent="0.25">
      <c r="B1" s="1" t="s">
        <v>395</v>
      </c>
      <c r="C1" s="1"/>
      <c r="D1" s="2"/>
      <c r="E1" s="3"/>
      <c r="F1" s="4"/>
      <c r="G1" s="5"/>
      <c r="H1" s="6"/>
      <c r="I1" s="26"/>
      <c r="J1" s="6"/>
    </row>
    <row r="2" spans="2:15" ht="18.75" thickBot="1" x14ac:dyDescent="0.25">
      <c r="B2" s="1251" t="str">
        <f>CONCATENATE("Arbeitszeit ",Berichtsjahr," von ",Mitarbeiter)</f>
        <v>Arbeitszeit 2026 von Max Muster, Musterstelle</v>
      </c>
      <c r="C2" s="1252"/>
      <c r="D2" s="1252"/>
      <c r="E2" s="1252"/>
      <c r="F2" s="1252"/>
      <c r="G2" s="1252"/>
      <c r="H2" s="1253"/>
      <c r="I2" s="26"/>
      <c r="J2" s="266" t="s">
        <v>248</v>
      </c>
      <c r="K2" s="870"/>
      <c r="L2" s="1005"/>
      <c r="M2" s="1006"/>
    </row>
    <row r="3" spans="2:15" ht="19.5" customHeight="1" x14ac:dyDescent="0.2">
      <c r="B3" s="34" t="s">
        <v>396</v>
      </c>
      <c r="C3" s="34"/>
      <c r="I3" s="26"/>
    </row>
    <row r="4" spans="2:15" ht="6" customHeight="1" x14ac:dyDescent="0.2">
      <c r="H4" s="14"/>
      <c r="I4" s="26"/>
    </row>
    <row r="5" spans="2:15" x14ac:dyDescent="0.2">
      <c r="D5" s="782" t="s">
        <v>397</v>
      </c>
      <c r="F5" s="85" t="s">
        <v>398</v>
      </c>
      <c r="H5" s="782" t="s">
        <v>399</v>
      </c>
      <c r="I5" s="26"/>
      <c r="J5" s="880" t="s">
        <v>400</v>
      </c>
      <c r="O5" s="15"/>
    </row>
    <row r="6" spans="2:15" ht="12.75" customHeight="1" x14ac:dyDescent="0.2">
      <c r="B6" s="16" t="str">
        <f>ctJahresuebersicht!D8</f>
        <v>Summe  Basis-Zeit</v>
      </c>
      <c r="C6" s="17"/>
      <c r="D6" s="881">
        <f>(IF(ctJahresuebersicht!$AB8&gt;0,IF(ROUND(100/ctJahresuebersicht!$AB$15*ctJahresuebersicht!$AB8/100*ctJahresuebersicht!$AB$7,)&lt;1,ROUND(100/ctJahresuebersicht!$AB$15*ctJahresuebersicht!$AB8/100*ctJahresuebersicht!$AB$7,2),ROUND(100/ctJahresuebersicht!$AB$15*ctJahresuebersicht!$AB8/100*ctJahresuebersicht!$AB$7,)),0))</f>
        <v>0</v>
      </c>
      <c r="E6" s="26"/>
      <c r="F6" s="698">
        <f>ctJahresuebersicht!AB8</f>
        <v>0</v>
      </c>
      <c r="H6" s="881">
        <f>SUM(H13:H20)</f>
        <v>0</v>
      </c>
      <c r="I6" s="26"/>
      <c r="J6" s="706"/>
      <c r="K6" s="15"/>
      <c r="L6" s="1243" t="s">
        <v>347</v>
      </c>
      <c r="M6" s="1243"/>
      <c r="N6" s="1243"/>
      <c r="O6" s="15"/>
    </row>
    <row r="7" spans="2:15" x14ac:dyDescent="0.2">
      <c r="B7" s="18" t="str">
        <f>CONCATENATE("Summe  ",ctArbeitsgebiete!B7)</f>
        <v xml:space="preserve">Summe  </v>
      </c>
      <c r="C7" s="17"/>
      <c r="D7" s="882">
        <f>(IF(ctJahresuebersicht!$AB9&gt;0,IF(ROUND(100/ctJahresuebersicht!$AB$15*ctJahresuebersicht!$AB9/100*ctJahresuebersicht!$AB$7,)&lt;1,ROUND(100/ctJahresuebersicht!$AB$15*ctJahresuebersicht!$AB9/100*ctJahresuebersicht!$AB$7,2),ROUND(100/ctJahresuebersicht!$AB$15*ctJahresuebersicht!$AB9/100*ctJahresuebersicht!$AB$7,)),0))</f>
        <v>0</v>
      </c>
      <c r="E7" s="26"/>
      <c r="F7" s="699">
        <f>ctJahresuebersicht!AB9</f>
        <v>0</v>
      </c>
      <c r="H7" s="882">
        <f>SUM(H21:H36)</f>
        <v>0</v>
      </c>
      <c r="I7" s="26"/>
      <c r="J7" s="706"/>
      <c r="L7" s="1243"/>
      <c r="M7" s="1243"/>
      <c r="N7" s="1243"/>
      <c r="O7" s="15"/>
    </row>
    <row r="8" spans="2:15" x14ac:dyDescent="0.2">
      <c r="B8" s="19" t="str">
        <f>CONCATENATE("Summe  ",ctArbeitsgebiete!E7)</f>
        <v xml:space="preserve">Summe  </v>
      </c>
      <c r="C8" s="17"/>
      <c r="D8" s="883">
        <f>(IF(ctJahresuebersicht!$AB10&gt;0,IF(ROUND(100/ctJahresuebersicht!$AB$15*ctJahresuebersicht!$AB10/100*ctJahresuebersicht!$AB$7,)&lt;1,ROUND(100/ctJahresuebersicht!$AB$15*ctJahresuebersicht!$AB10/100*ctJahresuebersicht!$AB$7,2),ROUND(100/ctJahresuebersicht!$AB$15*ctJahresuebersicht!$AB10/100*ctJahresuebersicht!$AB$7,)),0))</f>
        <v>0</v>
      </c>
      <c r="E8" s="26"/>
      <c r="F8" s="700">
        <f>ctJahresuebersicht!AB10</f>
        <v>0</v>
      </c>
      <c r="H8" s="883">
        <f>SUM(H37:H48)</f>
        <v>0</v>
      </c>
      <c r="I8" s="26"/>
      <c r="J8" s="706"/>
      <c r="L8" s="1243"/>
      <c r="M8" s="1243"/>
      <c r="N8" s="1243"/>
      <c r="O8" s="15"/>
    </row>
    <row r="9" spans="2:15" x14ac:dyDescent="0.2">
      <c r="B9" s="20" t="str">
        <f>CONCATENATE("Summe  ",ctArbeitsgebiete!H7)</f>
        <v xml:space="preserve">Summe  </v>
      </c>
      <c r="C9" s="17"/>
      <c r="D9" s="884">
        <f>(IF(ctJahresuebersicht!$AB11&gt;0,IF(ROUND(100/ctJahresuebersicht!$AB$15*ctJahresuebersicht!$AB11/100*ctJahresuebersicht!$AB$7,)&lt;1,ROUND(100/ctJahresuebersicht!$AB$15*ctJahresuebersicht!$AB11/100*ctJahresuebersicht!$AB$7,2),ROUND(100/ctJahresuebersicht!$AB$15*ctJahresuebersicht!$AB11/100*ctJahresuebersicht!$AB$7,)),0))</f>
        <v>0</v>
      </c>
      <c r="E9" s="26"/>
      <c r="F9" s="701">
        <f>ctJahresuebersicht!AB11</f>
        <v>0</v>
      </c>
      <c r="H9" s="884">
        <f>SUM(H49:H56)</f>
        <v>0</v>
      </c>
      <c r="I9" s="26"/>
      <c r="J9" s="706"/>
      <c r="L9" s="1243"/>
      <c r="M9" s="1243"/>
      <c r="N9" s="1243"/>
      <c r="O9" s="15"/>
    </row>
    <row r="10" spans="2:15" x14ac:dyDescent="0.2">
      <c r="B10" s="21" t="str">
        <f>CONCATENATE("Summe  ",ctArbeitsgebiete!K7)</f>
        <v>Summe  Diverses</v>
      </c>
      <c r="C10" s="17"/>
      <c r="D10" s="885">
        <f>(IF(ctJahresuebersicht!$AB12&gt;0,IF(ROUND(100/ctJahresuebersicht!$AB$15*ctJahresuebersicht!$AB12/100*ctJahresuebersicht!$AB$7,)&lt;1,ROUND(100/ctJahresuebersicht!$AB$15*ctJahresuebersicht!$AB12/100*ctJahresuebersicht!$AB$7,2),ROUND(100/ctJahresuebersicht!$AB$15*ctJahresuebersicht!$AB12/100*ctJahresuebersicht!$AB$7,)),0))</f>
        <v>0</v>
      </c>
      <c r="E10" s="26"/>
      <c r="F10" s="702">
        <f>ctJahresuebersicht!AB12</f>
        <v>0</v>
      </c>
      <c r="H10" s="885">
        <f>SUM(H57:H64)</f>
        <v>0</v>
      </c>
      <c r="I10" s="26"/>
      <c r="J10" s="706"/>
      <c r="L10" s="1243"/>
      <c r="M10" s="1243"/>
      <c r="N10" s="1243"/>
      <c r="O10" s="15"/>
    </row>
    <row r="11" spans="2:15" ht="18" customHeight="1" x14ac:dyDescent="0.2">
      <c r="B11" s="34" t="s">
        <v>401</v>
      </c>
      <c r="D11" s="27">
        <f>SUM(D6:D10)</f>
        <v>0</v>
      </c>
      <c r="E11" s="26"/>
      <c r="F11" s="85"/>
      <c r="H11" s="27">
        <f>SUM(H6:H10)</f>
        <v>0</v>
      </c>
      <c r="I11" s="26"/>
      <c r="J11" s="22"/>
      <c r="L11" s="1243"/>
      <c r="M11" s="1243"/>
      <c r="N11" s="1243"/>
      <c r="O11" s="15"/>
    </row>
    <row r="12" spans="2:15" ht="13.5" thickBot="1" x14ac:dyDescent="0.25">
      <c r="D12" s="14"/>
      <c r="E12" s="14"/>
      <c r="F12" s="85"/>
      <c r="H12" s="14"/>
      <c r="I12" s="26"/>
      <c r="L12" s="1243"/>
      <c r="M12" s="1243"/>
      <c r="N12" s="1243"/>
      <c r="O12" s="15"/>
    </row>
    <row r="13" spans="2:15" x14ac:dyDescent="0.2">
      <c r="B13" s="886" t="str">
        <f>IF(ctArbeitsgebiete!K20&lt;&gt;"",ctArbeitsgebiete!K20,"")</f>
        <v>Ferienbezug</v>
      </c>
      <c r="C13" s="23"/>
      <c r="D13" s="44">
        <f>(IF(ctJahresuebersicht!$AB22&gt;0,IF(ROUND(100/ctJahresuebersicht!$AB$15*ctJahresuebersicht!$AB22/100*ctJahresuebersicht!$AB$7,)&lt;1,ROUND(100/ctJahresuebersicht!$AB$15*ctJahresuebersicht!$AB22/100*ctJahresuebersicht!$AB$7,2),ROUND(100/ctJahresuebersicht!$AB$15*ctJahresuebersicht!$AB22/100*ctJahresuebersicht!$AB$7,)),0))</f>
        <v>0</v>
      </c>
      <c r="E13" s="703"/>
      <c r="F13" s="887">
        <f>ctJahresuebersicht!AB22</f>
        <v>0</v>
      </c>
      <c r="G13" s="24"/>
      <c r="H13" s="269"/>
      <c r="I13" s="704"/>
      <c r="J13" s="707"/>
      <c r="L13" s="1243"/>
      <c r="M13" s="1243"/>
      <c r="N13" s="1243"/>
      <c r="O13" s="15"/>
    </row>
    <row r="14" spans="2:15" x14ac:dyDescent="0.2">
      <c r="B14" s="1007" t="str">
        <f>IF(ctArbeitsgebiete!K21&lt;&gt;"",ctArbeitsgebiete!K21,"")</f>
        <v>Krankheit</v>
      </c>
      <c r="C14" s="727"/>
      <c r="D14" s="1008">
        <f>(IF(ctJahresuebersicht!$AB25&gt;0,IF(ROUND(100/ctJahresuebersicht!$AB$15*ctJahresuebersicht!$AB25/100*ctJahresuebersicht!$AB$7,)&lt;1,ROUND(100/ctJahresuebersicht!$AB$15*ctJahresuebersicht!$AB25/100*ctJahresuebersicht!$AB$7,2),ROUND(100/ctJahresuebersicht!$AB$15*ctJahresuebersicht!$AB25/100*ctJahresuebersicht!$AB$7,)),0))</f>
        <v>0</v>
      </c>
      <c r="E14" s="1009"/>
      <c r="F14" s="1010">
        <f>ctJahresuebersicht!AB25</f>
        <v>0</v>
      </c>
      <c r="G14" s="1011"/>
      <c r="H14" s="1012"/>
      <c r="I14" s="26"/>
      <c r="J14" s="708"/>
      <c r="L14" s="1243"/>
      <c r="M14" s="1243"/>
      <c r="N14" s="1243"/>
      <c r="O14" s="15"/>
    </row>
    <row r="15" spans="2:15" x14ac:dyDescent="0.2">
      <c r="B15" s="1007" t="str">
        <f>IF(ctArbeitsgebiete!K22&lt;&gt;"",ctArbeitsgebiete!K22,"")</f>
        <v>Unfall</v>
      </c>
      <c r="C15" s="727"/>
      <c r="D15" s="1008">
        <f>(IF(ctJahresuebersicht!$AB26&gt;0,IF(ROUND(100/ctJahresuebersicht!$AB$15*ctJahresuebersicht!$AB26/100*ctJahresuebersicht!$AB$7,)&lt;1,ROUND(100/ctJahresuebersicht!$AB$15*ctJahresuebersicht!$AB26/100*ctJahresuebersicht!$AB$7,2),ROUND(100/ctJahresuebersicht!$AB$15*ctJahresuebersicht!$AB26/100*ctJahresuebersicht!$AB$7,)),0))</f>
        <v>0</v>
      </c>
      <c r="E15" s="1009"/>
      <c r="F15" s="1010">
        <f>ctJahresuebersicht!AB26</f>
        <v>0</v>
      </c>
      <c r="G15" s="1011"/>
      <c r="H15" s="1012"/>
      <c r="I15" s="26"/>
      <c r="J15" s="708"/>
      <c r="L15" s="1243"/>
      <c r="M15" s="1243"/>
      <c r="N15" s="1243"/>
      <c r="O15" s="15"/>
    </row>
    <row r="16" spans="2:15" x14ac:dyDescent="0.2">
      <c r="B16" s="1007" t="str">
        <f>IF(ctArbeitsgebiete!K23&lt;&gt;"",ctArbeitsgebiete!K23,"")</f>
        <v>Militär / Zivildienst</v>
      </c>
      <c r="C16" s="727"/>
      <c r="D16" s="1008">
        <f>(IF(ctJahresuebersicht!$AB27&gt;0,IF(ROUND(100/ctJahresuebersicht!$AB$15*ctJahresuebersicht!$AB27/100*ctJahresuebersicht!$AB$7,)&lt;1,ROUND(100/ctJahresuebersicht!$AB$15*ctJahresuebersicht!$AB27/100*ctJahresuebersicht!$AB$7,2),ROUND(100/ctJahresuebersicht!$AB$15*ctJahresuebersicht!$AB27/100*ctJahresuebersicht!$AB$7,)),0))</f>
        <v>0</v>
      </c>
      <c r="E16" s="1009"/>
      <c r="F16" s="1010">
        <f>ctJahresuebersicht!AB27</f>
        <v>0</v>
      </c>
      <c r="G16" s="1011"/>
      <c r="H16" s="1012"/>
      <c r="I16" s="26"/>
      <c r="J16" s="708"/>
      <c r="L16" s="1243"/>
      <c r="M16" s="1243"/>
      <c r="N16" s="1243"/>
      <c r="O16" s="15"/>
    </row>
    <row r="17" spans="2:15" x14ac:dyDescent="0.2">
      <c r="B17" s="1007" t="str">
        <f>IF(ctArbeitsgebiete!K24&lt;&gt;"",ctArbeitsgebiete!K24,"")</f>
        <v>Weiterbildung</v>
      </c>
      <c r="C17" s="727"/>
      <c r="D17" s="1008">
        <f>(IF(ctJahresuebersicht!$AB29&gt;0,IF(ROUND(100/ctJahresuebersicht!$AB$15*ctJahresuebersicht!$AB29/100*ctJahresuebersicht!$AB$7,)&lt;1,ROUND(100/ctJahresuebersicht!$AB$15*ctJahresuebersicht!$AB29/100*ctJahresuebersicht!$AB$7,2),ROUND(100/ctJahresuebersicht!$AB$15*ctJahresuebersicht!$AB29/100*ctJahresuebersicht!$AB$7,)),0))</f>
        <v>0</v>
      </c>
      <c r="E17" s="1009"/>
      <c r="F17" s="1010">
        <f>ctJahresuebersicht!AB29</f>
        <v>0</v>
      </c>
      <c r="G17" s="1011"/>
      <c r="H17" s="1012"/>
      <c r="I17" s="26"/>
      <c r="J17" s="708"/>
      <c r="L17" s="1243"/>
      <c r="M17" s="1243"/>
      <c r="N17" s="1243"/>
      <c r="O17" s="15"/>
    </row>
    <row r="18" spans="2:15" x14ac:dyDescent="0.2">
      <c r="B18" s="1007" t="str">
        <f>IF(ctArbeitsgebiete!K25&lt;&gt;"",ctArbeitsgebiete!K25,"")</f>
        <v>Unbezahlter Urlaub</v>
      </c>
      <c r="C18" s="727"/>
      <c r="D18" s="1008">
        <f>(IF(ctJahresuebersicht!$AB30&gt;0,IF(ROUND(100/ctJahresuebersicht!$AB$15*ctJahresuebersicht!$AB30/100*ctJahresuebersicht!$AB$7,)&lt;1,ROUND(100/ctJahresuebersicht!$AB$15*ctJahresuebersicht!$AB30/100*ctJahresuebersicht!$AB$7,2),ROUND(100/ctJahresuebersicht!$AB$15*ctJahresuebersicht!$AB30/100*ctJahresuebersicht!$AB$7,)),0))</f>
        <v>0</v>
      </c>
      <c r="E18" s="1009"/>
      <c r="F18" s="1010">
        <f>ctJahresuebersicht!AB30</f>
        <v>0</v>
      </c>
      <c r="G18" s="1011"/>
      <c r="H18" s="1012"/>
      <c r="I18" s="26"/>
      <c r="J18" s="708"/>
      <c r="L18" s="1243"/>
      <c r="M18" s="1243"/>
      <c r="N18" s="1243"/>
      <c r="O18" s="15"/>
    </row>
    <row r="19" spans="2:15" x14ac:dyDescent="0.2">
      <c r="B19" s="1007" t="str">
        <f>IF(ctArbeitsgebiete!K26&lt;&gt;"",ctArbeitsgebiete!K26,"")</f>
        <v>Bezahlter Urlaub</v>
      </c>
      <c r="C19" s="727"/>
      <c r="D19" s="1008">
        <f>(IF(ctJahresuebersicht!$AB31&gt;0,IF(ROUND(100/ctJahresuebersicht!$AB$15*ctJahresuebersicht!$AB31/100*ctJahresuebersicht!$AB$7,)&lt;1,ROUND(100/ctJahresuebersicht!$AB$15*ctJahresuebersicht!$AB31/100*ctJahresuebersicht!$AB$7,2),ROUND(100/ctJahresuebersicht!$AB$15*ctJahresuebersicht!$AB31/100*ctJahresuebersicht!$AB$7,)),0))</f>
        <v>0</v>
      </c>
      <c r="E19" s="1009"/>
      <c r="F19" s="1010">
        <f>ctJahresuebersicht!AB31</f>
        <v>0</v>
      </c>
      <c r="G19" s="1011"/>
      <c r="H19" s="1012"/>
      <c r="I19" s="26"/>
      <c r="J19" s="708"/>
      <c r="L19" s="1243"/>
      <c r="M19" s="1243"/>
      <c r="N19" s="1243"/>
      <c r="O19" s="15"/>
    </row>
    <row r="20" spans="2:15" ht="13.5" thickBot="1" x14ac:dyDescent="0.25">
      <c r="B20" s="989" t="str">
        <f>IF(ctArbeitsgebiete!K27&lt;&gt;"",ctArbeitsgebiete!K27,"")</f>
        <v>Kaderarbeitszeit</v>
      </c>
      <c r="C20" s="1013"/>
      <c r="D20" s="1008">
        <f>(IF(ctJahresuebersicht!$AB32&gt;0,IF(ROUND(100/ctJahresuebersicht!$AB$15*ctJahresuebersicht!$AB32/100*ctJahresuebersicht!$AB$7,)&lt;1,ROUND(100/ctJahresuebersicht!$AB$15*ctJahresuebersicht!$AB32/100*ctJahresuebersicht!$AB$7,2),ROUND(100/ctJahresuebersicht!$AB$15*ctJahresuebersicht!$AB32/100*ctJahresuebersicht!$AB$7,)),0))</f>
        <v>0</v>
      </c>
      <c r="E20" s="1014"/>
      <c r="F20" s="1015">
        <f>ctJahresuebersicht!AB32</f>
        <v>0</v>
      </c>
      <c r="G20" s="1016"/>
      <c r="H20" s="1017"/>
      <c r="I20" s="705"/>
      <c r="J20" s="1018"/>
      <c r="L20" s="1243"/>
      <c r="M20" s="1243"/>
      <c r="N20" s="1243"/>
      <c r="O20" s="15"/>
    </row>
    <row r="21" spans="2:15" x14ac:dyDescent="0.2">
      <c r="B21" s="888" t="str">
        <f>IF(ctArbeitsgebiete!B9&lt;&gt;"",ctArbeitsgebiete!B9,"")</f>
        <v/>
      </c>
      <c r="C21" s="23"/>
      <c r="D21" s="45">
        <f>(IF(ctJahresuebersicht!$AB41&gt;0,IF(ROUND(100/ctJahresuebersicht!$AB$15*ctJahresuebersicht!$AB41/100*ctJahresuebersicht!$AB$7,)&lt;1,ROUND(100/ctJahresuebersicht!$AB$15*ctJahresuebersicht!$AB41/100*ctJahresuebersicht!$AB$7,2),ROUND(100/ctJahresuebersicht!$AB$15*ctJahresuebersicht!$AB41/100*ctJahresuebersicht!$AB$7,)),0))</f>
        <v>0</v>
      </c>
      <c r="E21" s="703"/>
      <c r="F21" s="889">
        <f>ctJahresuebersicht!AB41</f>
        <v>0</v>
      </c>
      <c r="G21" s="24"/>
      <c r="H21" s="269"/>
      <c r="I21" s="26"/>
      <c r="J21" s="707"/>
      <c r="L21" s="1243"/>
      <c r="M21" s="1243"/>
      <c r="N21" s="1243"/>
      <c r="O21" s="15"/>
    </row>
    <row r="22" spans="2:15" x14ac:dyDescent="0.2">
      <c r="B22" s="1019" t="str">
        <f>IF(ctArbeitsgebiete!B10&lt;&gt;"",ctArbeitsgebiete!B10,"")</f>
        <v/>
      </c>
      <c r="C22" s="727"/>
      <c r="D22" s="1020">
        <f>(IF(ctJahresuebersicht!$AB42&gt;0,IF(ROUND(100/ctJahresuebersicht!$AB$15*ctJahresuebersicht!$AB42/100*ctJahresuebersicht!$AB$7,)&lt;1,ROUND(100/ctJahresuebersicht!$AB$15*ctJahresuebersicht!$AB42/100*ctJahresuebersicht!$AB$7,2),ROUND(100/ctJahresuebersicht!$AB$15*ctJahresuebersicht!$AB42/100*ctJahresuebersicht!$AB$7,)),0))</f>
        <v>0</v>
      </c>
      <c r="E22" s="1009"/>
      <c r="F22" s="1021">
        <f>ctJahresuebersicht!AB42</f>
        <v>0</v>
      </c>
      <c r="G22" s="1011"/>
      <c r="H22" s="1012"/>
      <c r="I22" s="26"/>
      <c r="J22" s="708"/>
      <c r="L22" s="1243"/>
      <c r="M22" s="1243"/>
      <c r="N22" s="1243"/>
      <c r="O22" s="15"/>
    </row>
    <row r="23" spans="2:15" x14ac:dyDescent="0.2">
      <c r="B23" s="1019" t="str">
        <f>IF(ctArbeitsgebiete!B11&lt;&gt;"",ctArbeitsgebiete!B11,"")</f>
        <v/>
      </c>
      <c r="C23" s="727"/>
      <c r="D23" s="1020">
        <f>(IF(ctJahresuebersicht!$AB43&gt;0,IF(ROUND(100/ctJahresuebersicht!$AB$15*ctJahresuebersicht!$AB43/100*ctJahresuebersicht!$AB$7,)&lt;1,ROUND(100/ctJahresuebersicht!$AB$15*ctJahresuebersicht!$AB43/100*ctJahresuebersicht!$AB$7,2),ROUND(100/ctJahresuebersicht!$AB$15*ctJahresuebersicht!$AB43/100*ctJahresuebersicht!$AB$7,)),0))</f>
        <v>0</v>
      </c>
      <c r="E23" s="1009"/>
      <c r="F23" s="1021">
        <f>ctJahresuebersicht!AB43</f>
        <v>0</v>
      </c>
      <c r="G23" s="1011"/>
      <c r="H23" s="1012"/>
      <c r="I23" s="26"/>
      <c r="J23" s="708"/>
      <c r="L23" s="1243"/>
      <c r="M23" s="1243"/>
      <c r="N23" s="1243"/>
      <c r="O23" s="15"/>
    </row>
    <row r="24" spans="2:15" x14ac:dyDescent="0.2">
      <c r="B24" s="1019" t="str">
        <f>IF(ctArbeitsgebiete!B12&lt;&gt;"",ctArbeitsgebiete!B12,"")</f>
        <v/>
      </c>
      <c r="C24" s="727"/>
      <c r="D24" s="1020">
        <f>(IF(ctJahresuebersicht!$AB44&gt;0,IF(ROUND(100/ctJahresuebersicht!$AB$15*ctJahresuebersicht!$AB44/100*ctJahresuebersicht!$AB$7,)&lt;1,ROUND(100/ctJahresuebersicht!$AB$15*ctJahresuebersicht!$AB44/100*ctJahresuebersicht!$AB$7,2),ROUND(100/ctJahresuebersicht!$AB$15*ctJahresuebersicht!$AB44/100*ctJahresuebersicht!$AB$7,)),0))</f>
        <v>0</v>
      </c>
      <c r="E24" s="1009"/>
      <c r="F24" s="1021">
        <f>ctJahresuebersicht!AB44</f>
        <v>0</v>
      </c>
      <c r="G24" s="1011"/>
      <c r="H24" s="1012"/>
      <c r="I24" s="26"/>
      <c r="J24" s="708"/>
      <c r="L24" s="1243"/>
      <c r="M24" s="1243"/>
      <c r="N24" s="1243"/>
      <c r="O24" s="15"/>
    </row>
    <row r="25" spans="2:15" x14ac:dyDescent="0.2">
      <c r="B25" s="1019" t="str">
        <f>IF(ctArbeitsgebiete!B13&lt;&gt;"",ctArbeitsgebiete!B13,"")</f>
        <v/>
      </c>
      <c r="C25" s="727"/>
      <c r="D25" s="1020">
        <f>(IF(ctJahresuebersicht!$AB45&gt;0,IF(ROUND(100/ctJahresuebersicht!$AB$15*ctJahresuebersicht!$AB45/100*ctJahresuebersicht!$AB$7,)&lt;1,ROUND(100/ctJahresuebersicht!$AB$15*ctJahresuebersicht!$AB45/100*ctJahresuebersicht!$AB$7,2),ROUND(100/ctJahresuebersicht!$AB$15*ctJahresuebersicht!$AB45/100*ctJahresuebersicht!$AB$7,)),0))</f>
        <v>0</v>
      </c>
      <c r="E25" s="1009"/>
      <c r="F25" s="1021">
        <f>ctJahresuebersicht!AB45</f>
        <v>0</v>
      </c>
      <c r="G25" s="1011"/>
      <c r="H25" s="1012"/>
      <c r="I25" s="26"/>
      <c r="J25" s="708"/>
      <c r="L25" s="1243"/>
      <c r="M25" s="1243"/>
      <c r="N25" s="1243"/>
      <c r="O25" s="15"/>
    </row>
    <row r="26" spans="2:15" x14ac:dyDescent="0.2">
      <c r="B26" s="1019" t="str">
        <f>IF(ctArbeitsgebiete!B14&lt;&gt;"",ctArbeitsgebiete!B14,"")</f>
        <v/>
      </c>
      <c r="C26" s="727"/>
      <c r="D26" s="1020">
        <f>(IF(ctJahresuebersicht!$AB46&gt;0,IF(ROUND(100/ctJahresuebersicht!$AB$15*ctJahresuebersicht!$AB46/100*ctJahresuebersicht!$AB$7,)&lt;1,ROUND(100/ctJahresuebersicht!$AB$15*ctJahresuebersicht!$AB46/100*ctJahresuebersicht!$AB$7,2),ROUND(100/ctJahresuebersicht!$AB$15*ctJahresuebersicht!$AB46/100*ctJahresuebersicht!$AB$7,)),0))</f>
        <v>0</v>
      </c>
      <c r="E26" s="1009"/>
      <c r="F26" s="1021">
        <f>ctJahresuebersicht!AB46</f>
        <v>0</v>
      </c>
      <c r="G26" s="1011"/>
      <c r="H26" s="1012"/>
      <c r="I26" s="26"/>
      <c r="J26" s="708"/>
      <c r="L26" s="1243"/>
      <c r="M26" s="1243"/>
      <c r="N26" s="1243"/>
      <c r="O26" s="15"/>
    </row>
    <row r="27" spans="2:15" x14ac:dyDescent="0.2">
      <c r="B27" s="1019" t="str">
        <f>IF(ctArbeitsgebiete!B15&lt;&gt;"",ctArbeitsgebiete!B15,"")</f>
        <v/>
      </c>
      <c r="C27" s="727"/>
      <c r="D27" s="1020">
        <f>(IF(ctJahresuebersicht!$AB47&gt;0,IF(ROUND(100/ctJahresuebersicht!$AB$15*ctJahresuebersicht!$AB47/100*ctJahresuebersicht!$AB$7,)&lt;1,ROUND(100/ctJahresuebersicht!$AB$15*ctJahresuebersicht!$AB47/100*ctJahresuebersicht!$AB$7,2),ROUND(100/ctJahresuebersicht!$AB$15*ctJahresuebersicht!$AB47/100*ctJahresuebersicht!$AB$7,)),0))</f>
        <v>0</v>
      </c>
      <c r="E27" s="1009"/>
      <c r="F27" s="1021">
        <f>ctJahresuebersicht!AB47</f>
        <v>0</v>
      </c>
      <c r="G27" s="1011"/>
      <c r="H27" s="1012"/>
      <c r="I27" s="26"/>
      <c r="J27" s="708"/>
      <c r="L27" s="1243"/>
      <c r="M27" s="1243"/>
      <c r="N27" s="1243"/>
      <c r="O27" s="15"/>
    </row>
    <row r="28" spans="2:15" x14ac:dyDescent="0.2">
      <c r="B28" s="1019" t="str">
        <f>IF(ctArbeitsgebiete!B16&lt;&gt;"",ctArbeitsgebiete!B16,"")</f>
        <v/>
      </c>
      <c r="C28" s="727"/>
      <c r="D28" s="1020">
        <f>(IF(ctJahresuebersicht!$AB48&gt;0,IF(ROUND(100/ctJahresuebersicht!$AB$15*ctJahresuebersicht!$AB48/100*ctJahresuebersicht!$AB$7,)&lt;1,ROUND(100/ctJahresuebersicht!$AB$15*ctJahresuebersicht!$AB48/100*ctJahresuebersicht!$AB$7,2),ROUND(100/ctJahresuebersicht!$AB$15*ctJahresuebersicht!$AB48/100*ctJahresuebersicht!$AB$7,)),0))</f>
        <v>0</v>
      </c>
      <c r="E28" s="1009"/>
      <c r="F28" s="1021">
        <f>ctJahresuebersicht!AB48</f>
        <v>0</v>
      </c>
      <c r="G28" s="1011"/>
      <c r="H28" s="1012"/>
      <c r="I28" s="26"/>
      <c r="J28" s="708"/>
      <c r="L28" s="1243"/>
      <c r="M28" s="1243"/>
      <c r="N28" s="1243"/>
      <c r="O28" s="15"/>
    </row>
    <row r="29" spans="2:15" x14ac:dyDescent="0.2">
      <c r="B29" s="1019" t="str">
        <f>IF(ctArbeitsgebiete!B17&lt;&gt;"",ctArbeitsgebiete!B17,"")</f>
        <v/>
      </c>
      <c r="C29" s="727"/>
      <c r="D29" s="1020">
        <f>(IF(ctJahresuebersicht!$AB49&gt;0,IF(ROUND(100/ctJahresuebersicht!$AB$15*ctJahresuebersicht!$AB49/100*ctJahresuebersicht!$AB$7,)&lt;1,ROUND(100/ctJahresuebersicht!$AB$15*ctJahresuebersicht!$AB49/100*ctJahresuebersicht!$AB$7,2),ROUND(100/ctJahresuebersicht!$AB$15*ctJahresuebersicht!$AB49/100*ctJahresuebersicht!$AB$7,)),0))</f>
        <v>0</v>
      </c>
      <c r="E29" s="1009"/>
      <c r="F29" s="1021">
        <f>ctJahresuebersicht!AB49</f>
        <v>0</v>
      </c>
      <c r="G29" s="1011"/>
      <c r="H29" s="1012"/>
      <c r="I29" s="26"/>
      <c r="J29" s="708"/>
      <c r="L29" s="1243"/>
      <c r="M29" s="1243"/>
      <c r="N29" s="1243"/>
      <c r="O29" s="15"/>
    </row>
    <row r="30" spans="2:15" x14ac:dyDescent="0.2">
      <c r="B30" s="1019" t="str">
        <f>IF(ctArbeitsgebiete!B18&lt;&gt;"",ctArbeitsgebiete!B18,"")</f>
        <v/>
      </c>
      <c r="C30" s="727"/>
      <c r="D30" s="1020">
        <f>(IF(ctJahresuebersicht!$AB50&gt;0,IF(ROUND(100/ctJahresuebersicht!$AB$15*ctJahresuebersicht!$AB50/100*ctJahresuebersicht!$AB$7,)&lt;1,ROUND(100/ctJahresuebersicht!$AB$15*ctJahresuebersicht!$AB50/100*ctJahresuebersicht!$AB$7,2),ROUND(100/ctJahresuebersicht!$AB$15*ctJahresuebersicht!$AB50/100*ctJahresuebersicht!$AB$7,)),0))</f>
        <v>0</v>
      </c>
      <c r="E30" s="1009"/>
      <c r="F30" s="1021">
        <f>ctJahresuebersicht!AB50</f>
        <v>0</v>
      </c>
      <c r="G30" s="1011"/>
      <c r="H30" s="1012"/>
      <c r="I30" s="26"/>
      <c r="J30" s="708"/>
      <c r="L30" s="1243"/>
      <c r="M30" s="1243"/>
      <c r="N30" s="1243"/>
      <c r="O30" s="15"/>
    </row>
    <row r="31" spans="2:15" x14ac:dyDescent="0.2">
      <c r="B31" s="1019" t="str">
        <f>IF(ctArbeitsgebiete!B19&lt;&gt;"",ctArbeitsgebiete!B19,"")</f>
        <v/>
      </c>
      <c r="C31" s="727"/>
      <c r="D31" s="1020">
        <f>(IF(ctJahresuebersicht!$AB51&gt;0,IF(ROUND(100/ctJahresuebersicht!$AB$15*ctJahresuebersicht!$AB51/100*ctJahresuebersicht!$AB$7,)&lt;1,ROUND(100/ctJahresuebersicht!$AB$15*ctJahresuebersicht!$AB51/100*ctJahresuebersicht!$AB$7,2),ROUND(100/ctJahresuebersicht!$AB$15*ctJahresuebersicht!$AB51/100*ctJahresuebersicht!$AB$7,)),0))</f>
        <v>0</v>
      </c>
      <c r="E31" s="1009"/>
      <c r="F31" s="1021">
        <f>ctJahresuebersicht!AB51</f>
        <v>0</v>
      </c>
      <c r="G31" s="1011"/>
      <c r="H31" s="1012"/>
      <c r="I31" s="26"/>
      <c r="J31" s="708"/>
      <c r="O31" s="15"/>
    </row>
    <row r="32" spans="2:15" x14ac:dyDescent="0.2">
      <c r="B32" s="1019" t="str">
        <f>IF(ctArbeitsgebiete!B20&lt;&gt;"",ctArbeitsgebiete!B20,"")</f>
        <v/>
      </c>
      <c r="C32" s="727"/>
      <c r="D32" s="1020">
        <f>(IF(ctJahresuebersicht!$AB52&gt;0,IF(ROUND(100/ctJahresuebersicht!$AB$15*ctJahresuebersicht!$AB52/100*ctJahresuebersicht!$AB$7,)&lt;1,ROUND(100/ctJahresuebersicht!$AB$15*ctJahresuebersicht!$AB52/100*ctJahresuebersicht!$AB$7,2),ROUND(100/ctJahresuebersicht!$AB$15*ctJahresuebersicht!$AB52/100*ctJahresuebersicht!$AB$7,)),0))</f>
        <v>0</v>
      </c>
      <c r="E32" s="1009"/>
      <c r="F32" s="1021">
        <f>ctJahresuebersicht!AB52</f>
        <v>0</v>
      </c>
      <c r="G32" s="1011"/>
      <c r="H32" s="1012"/>
      <c r="I32" s="26"/>
      <c r="J32" s="708"/>
      <c r="O32" s="15"/>
    </row>
    <row r="33" spans="2:15" x14ac:dyDescent="0.2">
      <c r="B33" s="1019" t="str">
        <f>IF(ctArbeitsgebiete!B21&lt;&gt;"",ctArbeitsgebiete!B21,"")</f>
        <v/>
      </c>
      <c r="C33" s="727"/>
      <c r="D33" s="1020">
        <f>(IF(ctJahresuebersicht!$AB53&gt;0,IF(ROUND(100/ctJahresuebersicht!$AB$15*ctJahresuebersicht!$AB53/100*ctJahresuebersicht!$AB$7,)&lt;1,ROUND(100/ctJahresuebersicht!$AB$15*ctJahresuebersicht!$AB53/100*ctJahresuebersicht!$AB$7,2),ROUND(100/ctJahresuebersicht!$AB$15*ctJahresuebersicht!$AB53/100*ctJahresuebersicht!$AB$7,)),0))</f>
        <v>0</v>
      </c>
      <c r="E33" s="1009"/>
      <c r="F33" s="1021">
        <f>ctJahresuebersicht!AB53</f>
        <v>0</v>
      </c>
      <c r="G33" s="1011"/>
      <c r="H33" s="1012"/>
      <c r="I33" s="26"/>
      <c r="J33" s="708"/>
      <c r="O33" s="15"/>
    </row>
    <row r="34" spans="2:15" x14ac:dyDescent="0.2">
      <c r="B34" s="1019" t="str">
        <f>IF(ctArbeitsgebiete!B22&lt;&gt;"",ctArbeitsgebiete!B22,"")</f>
        <v/>
      </c>
      <c r="C34" s="727"/>
      <c r="D34" s="1020">
        <f>(IF(ctJahresuebersicht!$AB54&gt;0,IF(ROUND(100/ctJahresuebersicht!$AB$15*ctJahresuebersicht!$AB54/100*ctJahresuebersicht!$AB$7,)&lt;1,ROUND(100/ctJahresuebersicht!$AB$15*ctJahresuebersicht!$AB54/100*ctJahresuebersicht!$AB$7,2),ROUND(100/ctJahresuebersicht!$AB$15*ctJahresuebersicht!$AB54/100*ctJahresuebersicht!$AB$7,)),0))</f>
        <v>0</v>
      </c>
      <c r="E34" s="1009"/>
      <c r="F34" s="1021">
        <f>ctJahresuebersicht!AB54</f>
        <v>0</v>
      </c>
      <c r="G34" s="1011"/>
      <c r="H34" s="1012"/>
      <c r="I34" s="26"/>
      <c r="J34" s="708"/>
      <c r="O34" s="15"/>
    </row>
    <row r="35" spans="2:15" x14ac:dyDescent="0.2">
      <c r="B35" s="1019" t="str">
        <f>IF(ctArbeitsgebiete!B23&lt;&gt;"",ctArbeitsgebiete!B23,"")</f>
        <v/>
      </c>
      <c r="C35" s="727"/>
      <c r="D35" s="1020">
        <f>(IF(ctJahresuebersicht!$AB55&gt;0,IF(ROUND(100/ctJahresuebersicht!$AB$15*ctJahresuebersicht!$AB55/100*ctJahresuebersicht!$AB$7,)&lt;1,ROUND(100/ctJahresuebersicht!$AB$15*ctJahresuebersicht!$AB55/100*ctJahresuebersicht!$AB$7,2),ROUND(100/ctJahresuebersicht!$AB$15*ctJahresuebersicht!$AB55/100*ctJahresuebersicht!$AB$7,)),0))</f>
        <v>0</v>
      </c>
      <c r="E35" s="1009"/>
      <c r="F35" s="1021">
        <f>ctJahresuebersicht!AB55</f>
        <v>0</v>
      </c>
      <c r="G35" s="1011"/>
      <c r="H35" s="1012"/>
      <c r="I35" s="26"/>
      <c r="J35" s="708"/>
      <c r="O35" s="15"/>
    </row>
    <row r="36" spans="2:15" ht="13.5" thickBot="1" x14ac:dyDescent="0.25">
      <c r="B36" s="1019" t="str">
        <f>IF(ctArbeitsgebiete!B24&lt;&gt;"",ctArbeitsgebiete!B24,"")</f>
        <v/>
      </c>
      <c r="C36" s="1013"/>
      <c r="D36" s="1022">
        <f>(IF(ctJahresuebersicht!$AB56&gt;0,IF(ROUND(100/ctJahresuebersicht!$AB$15*ctJahresuebersicht!$AB56/100*ctJahresuebersicht!$AB$7,)&lt;1,ROUND(100/ctJahresuebersicht!$AB$15*ctJahresuebersicht!$AB56/100*ctJahresuebersicht!$AB$7,2),ROUND(100/ctJahresuebersicht!$AB$15*ctJahresuebersicht!$AB56/100*ctJahresuebersicht!$AB$7,)),0))</f>
        <v>0</v>
      </c>
      <c r="E36" s="1014"/>
      <c r="F36" s="1021">
        <f>ctJahresuebersicht!AB56</f>
        <v>0</v>
      </c>
      <c r="G36" s="1016"/>
      <c r="H36" s="1017"/>
      <c r="I36" s="26"/>
      <c r="J36" s="1018"/>
      <c r="O36" s="15"/>
    </row>
    <row r="37" spans="2:15" x14ac:dyDescent="0.2">
      <c r="B37" s="890" t="str">
        <f>IF(ctArbeitsgebiete!E9&lt;&gt;"",ctArbeitsgebiete!E9,"")</f>
        <v/>
      </c>
      <c r="C37" s="23"/>
      <c r="D37" s="46">
        <f>(IF(ctJahresuebersicht!$AB57&gt;0,IF(ROUND(100/ctJahresuebersicht!$AB$15*ctJahresuebersicht!$AB57/100*ctJahresuebersicht!$AB$7,)&lt;1,ROUND(100/ctJahresuebersicht!$AB$15*ctJahresuebersicht!$AB57/100*ctJahresuebersicht!$AB$7,2),ROUND(100/ctJahresuebersicht!$AB$15*ctJahresuebersicht!$AB57/100*ctJahresuebersicht!$AB$7,)),0))</f>
        <v>0</v>
      </c>
      <c r="E37" s="703"/>
      <c r="F37" s="891">
        <f>ctJahresuebersicht!AB57</f>
        <v>0</v>
      </c>
      <c r="G37" s="24"/>
      <c r="H37" s="269"/>
      <c r="I37" s="704"/>
      <c r="J37" s="707"/>
      <c r="O37" s="15"/>
    </row>
    <row r="38" spans="2:15" x14ac:dyDescent="0.2">
      <c r="B38" s="1023" t="str">
        <f>IF(ctArbeitsgebiete!E10&lt;&gt;"",ctArbeitsgebiete!E10,"")</f>
        <v/>
      </c>
      <c r="C38" s="727"/>
      <c r="D38" s="1024">
        <f>(IF(ctJahresuebersicht!$AB58&gt;0,IF(ROUND(100/ctJahresuebersicht!$AB$15*ctJahresuebersicht!$AB58/100*ctJahresuebersicht!$AB$7,)&lt;1,ROUND(100/ctJahresuebersicht!$AB$15*ctJahresuebersicht!$AB58/100*ctJahresuebersicht!$AB$7,2),ROUND(100/ctJahresuebersicht!$AB$15*ctJahresuebersicht!$AB58/100*ctJahresuebersicht!$AB$7,)),0))</f>
        <v>0</v>
      </c>
      <c r="E38" s="1009"/>
      <c r="F38" s="1025">
        <f>ctJahresuebersicht!AB58</f>
        <v>0</v>
      </c>
      <c r="G38" s="1011"/>
      <c r="H38" s="1012"/>
      <c r="I38" s="26"/>
      <c r="J38" s="708"/>
      <c r="O38" s="15"/>
    </row>
    <row r="39" spans="2:15" x14ac:dyDescent="0.2">
      <c r="B39" s="1023" t="str">
        <f>IF(ctArbeitsgebiete!E11&lt;&gt;"",ctArbeitsgebiete!E11,"")</f>
        <v/>
      </c>
      <c r="C39" s="727"/>
      <c r="D39" s="1024">
        <f>(IF(ctJahresuebersicht!$AB59&gt;0,IF(ROUND(100/ctJahresuebersicht!$AB$15*ctJahresuebersicht!$AB59/100*ctJahresuebersicht!$AB$7,)&lt;1,ROUND(100/ctJahresuebersicht!$AB$15*ctJahresuebersicht!$AB59/100*ctJahresuebersicht!$AB$7,2),ROUND(100/ctJahresuebersicht!$AB$15*ctJahresuebersicht!$AB59/100*ctJahresuebersicht!$AB$7,)),0))</f>
        <v>0</v>
      </c>
      <c r="E39" s="1009"/>
      <c r="F39" s="1025">
        <f>ctJahresuebersicht!AB59</f>
        <v>0</v>
      </c>
      <c r="G39" s="1011"/>
      <c r="H39" s="1012"/>
      <c r="I39" s="26"/>
      <c r="J39" s="708"/>
      <c r="O39" s="15"/>
    </row>
    <row r="40" spans="2:15" x14ac:dyDescent="0.2">
      <c r="B40" s="1023" t="str">
        <f>IF(ctArbeitsgebiete!E12&lt;&gt;"",ctArbeitsgebiete!E12,"")</f>
        <v/>
      </c>
      <c r="C40" s="727"/>
      <c r="D40" s="1024">
        <f>(IF(ctJahresuebersicht!$AB60&gt;0,IF(ROUND(100/ctJahresuebersicht!$AB$15*ctJahresuebersicht!$AB60/100*ctJahresuebersicht!$AB$7,)&lt;1,ROUND(100/ctJahresuebersicht!$AB$15*ctJahresuebersicht!$AB60/100*ctJahresuebersicht!$AB$7,2),ROUND(100/ctJahresuebersicht!$AB$15*ctJahresuebersicht!$AB60/100*ctJahresuebersicht!$AB$7,)),0))</f>
        <v>0</v>
      </c>
      <c r="E40" s="1009"/>
      <c r="F40" s="1025">
        <f>ctJahresuebersicht!AB60</f>
        <v>0</v>
      </c>
      <c r="G40" s="1011"/>
      <c r="H40" s="1012"/>
      <c r="I40" s="26"/>
      <c r="J40" s="708"/>
      <c r="O40" s="15"/>
    </row>
    <row r="41" spans="2:15" x14ac:dyDescent="0.2">
      <c r="B41" s="1023" t="str">
        <f>IF(ctArbeitsgebiete!E13&lt;&gt;"",ctArbeitsgebiete!E13,"")</f>
        <v/>
      </c>
      <c r="C41" s="727"/>
      <c r="D41" s="1024">
        <f>(IF(ctJahresuebersicht!$AB61&gt;0,IF(ROUND(100/ctJahresuebersicht!$AB$15*ctJahresuebersicht!$AB61/100*ctJahresuebersicht!$AB$7,)&lt;1,ROUND(100/ctJahresuebersicht!$AB$15*ctJahresuebersicht!$AB61/100*ctJahresuebersicht!$AB$7,2),ROUND(100/ctJahresuebersicht!$AB$15*ctJahresuebersicht!$AB61/100*ctJahresuebersicht!$AB$7,)),0))</f>
        <v>0</v>
      </c>
      <c r="E41" s="1009"/>
      <c r="F41" s="1025">
        <f>ctJahresuebersicht!AB61</f>
        <v>0</v>
      </c>
      <c r="G41" s="1011"/>
      <c r="H41" s="1012"/>
      <c r="I41" s="26"/>
      <c r="J41" s="708"/>
      <c r="O41" s="15"/>
    </row>
    <row r="42" spans="2:15" x14ac:dyDescent="0.2">
      <c r="B42" s="1023" t="str">
        <f>IF(ctArbeitsgebiete!E14&lt;&gt;"",ctArbeitsgebiete!E14,"")</f>
        <v/>
      </c>
      <c r="C42" s="727"/>
      <c r="D42" s="1024">
        <f>(IF(ctJahresuebersicht!$AB62&gt;0,IF(ROUND(100/ctJahresuebersicht!$AB$15*ctJahresuebersicht!$AB62/100*ctJahresuebersicht!$AB$7,)&lt;1,ROUND(100/ctJahresuebersicht!$AB$15*ctJahresuebersicht!$AB62/100*ctJahresuebersicht!$AB$7,2),ROUND(100/ctJahresuebersicht!$AB$15*ctJahresuebersicht!$AB62/100*ctJahresuebersicht!$AB$7,)),0))</f>
        <v>0</v>
      </c>
      <c r="E42" s="1009"/>
      <c r="F42" s="1025">
        <f>ctJahresuebersicht!AB62</f>
        <v>0</v>
      </c>
      <c r="G42" s="1011"/>
      <c r="H42" s="1012"/>
      <c r="I42" s="26"/>
      <c r="J42" s="708"/>
      <c r="O42" s="15"/>
    </row>
    <row r="43" spans="2:15" x14ac:dyDescent="0.2">
      <c r="B43" s="1023" t="str">
        <f>IF(ctArbeitsgebiete!E15&lt;&gt;"",ctArbeitsgebiete!E15,"")</f>
        <v/>
      </c>
      <c r="C43" s="727"/>
      <c r="D43" s="1024">
        <f>(IF(ctJahresuebersicht!$AB63&gt;0,IF(ROUND(100/ctJahresuebersicht!$AB$15*ctJahresuebersicht!$AB63/100*ctJahresuebersicht!$AB$7,)&lt;1,ROUND(100/ctJahresuebersicht!$AB$15*ctJahresuebersicht!$AB63/100*ctJahresuebersicht!$AB$7,2),ROUND(100/ctJahresuebersicht!$AB$15*ctJahresuebersicht!$AB63/100*ctJahresuebersicht!$AB$7,)),0))</f>
        <v>0</v>
      </c>
      <c r="E43" s="1009"/>
      <c r="F43" s="1025">
        <f>ctJahresuebersicht!AB63</f>
        <v>0</v>
      </c>
      <c r="G43" s="1011"/>
      <c r="H43" s="1012"/>
      <c r="I43" s="26"/>
      <c r="J43" s="708"/>
      <c r="O43" s="15"/>
    </row>
    <row r="44" spans="2:15" x14ac:dyDescent="0.2">
      <c r="B44" s="1023" t="str">
        <f>IF(ctArbeitsgebiete!E16&lt;&gt;"",ctArbeitsgebiete!E16,"")</f>
        <v/>
      </c>
      <c r="C44" s="727"/>
      <c r="D44" s="1024">
        <f>(IF(ctJahresuebersicht!$AB64&gt;0,IF(ROUND(100/ctJahresuebersicht!$AB$15*ctJahresuebersicht!$AB64/100*ctJahresuebersicht!$AB$7,)&lt;1,ROUND(100/ctJahresuebersicht!$AB$15*ctJahresuebersicht!$AB64/100*ctJahresuebersicht!$AB$7,2),ROUND(100/ctJahresuebersicht!$AB$15*ctJahresuebersicht!$AB64/100*ctJahresuebersicht!$AB$7,)),0))</f>
        <v>0</v>
      </c>
      <c r="E44" s="1009"/>
      <c r="F44" s="1025">
        <f>ctJahresuebersicht!AB64</f>
        <v>0</v>
      </c>
      <c r="G44" s="1011"/>
      <c r="H44" s="1012"/>
      <c r="I44" s="26"/>
      <c r="J44" s="708"/>
      <c r="O44" s="15"/>
    </row>
    <row r="45" spans="2:15" x14ac:dyDescent="0.2">
      <c r="B45" s="1023" t="str">
        <f>IF(ctArbeitsgebiete!E17&lt;&gt;"",ctArbeitsgebiete!E17,"")</f>
        <v/>
      </c>
      <c r="C45" s="727"/>
      <c r="D45" s="1024">
        <f>(IF(ctJahresuebersicht!$AB65&gt;0,IF(ROUND(100/ctJahresuebersicht!$AB$15*ctJahresuebersicht!$AB65/100*ctJahresuebersicht!$AB$7,)&lt;1,ROUND(100/ctJahresuebersicht!$AB$15*ctJahresuebersicht!$AB65/100*ctJahresuebersicht!$AB$7,2),ROUND(100/ctJahresuebersicht!$AB$15*ctJahresuebersicht!$AB65/100*ctJahresuebersicht!$AB$7,)),0))</f>
        <v>0</v>
      </c>
      <c r="E45" s="1009"/>
      <c r="F45" s="1025">
        <f>ctJahresuebersicht!AB65</f>
        <v>0</v>
      </c>
      <c r="G45" s="1011"/>
      <c r="H45" s="1012"/>
      <c r="I45" s="26"/>
      <c r="J45" s="708"/>
      <c r="O45" s="15"/>
    </row>
    <row r="46" spans="2:15" x14ac:dyDescent="0.2">
      <c r="B46" s="1023" t="str">
        <f>IF(ctArbeitsgebiete!E18&lt;&gt;"",ctArbeitsgebiete!E18,"")</f>
        <v/>
      </c>
      <c r="C46" s="727"/>
      <c r="D46" s="1024">
        <f>(IF(ctJahresuebersicht!$AB66&gt;0,IF(ROUND(100/ctJahresuebersicht!$AB$15*ctJahresuebersicht!$AB66/100*ctJahresuebersicht!$AB$7,)&lt;1,ROUND(100/ctJahresuebersicht!$AB$15*ctJahresuebersicht!$AB66/100*ctJahresuebersicht!$AB$7,2),ROUND(100/ctJahresuebersicht!$AB$15*ctJahresuebersicht!$AB66/100*ctJahresuebersicht!$AB$7,)),0))</f>
        <v>0</v>
      </c>
      <c r="E46" s="1009"/>
      <c r="F46" s="1025">
        <f>ctJahresuebersicht!AB66</f>
        <v>0</v>
      </c>
      <c r="G46" s="1011"/>
      <c r="H46" s="1012"/>
      <c r="I46" s="26"/>
      <c r="J46" s="708"/>
      <c r="O46" s="15"/>
    </row>
    <row r="47" spans="2:15" x14ac:dyDescent="0.2">
      <c r="B47" s="1023" t="str">
        <f>IF(ctArbeitsgebiete!E19&lt;&gt;"",ctArbeitsgebiete!E19,"")</f>
        <v/>
      </c>
      <c r="C47" s="727"/>
      <c r="D47" s="1024">
        <f>(IF(ctJahresuebersicht!$AB67&gt;0,IF(ROUND(100/ctJahresuebersicht!$AB$15*ctJahresuebersicht!$AB67/100*ctJahresuebersicht!$AB$7,)&lt;1,ROUND(100/ctJahresuebersicht!$AB$15*ctJahresuebersicht!$AB67/100*ctJahresuebersicht!$AB$7,2),ROUND(100/ctJahresuebersicht!$AB$15*ctJahresuebersicht!$AB67/100*ctJahresuebersicht!$AB$7,)),0))</f>
        <v>0</v>
      </c>
      <c r="E47" s="1009"/>
      <c r="F47" s="1025">
        <f>ctJahresuebersicht!AB67</f>
        <v>0</v>
      </c>
      <c r="G47" s="1011"/>
      <c r="H47" s="1012"/>
      <c r="I47" s="26"/>
      <c r="J47" s="708"/>
      <c r="O47" s="15"/>
    </row>
    <row r="48" spans="2:15" ht="13.5" thickBot="1" x14ac:dyDescent="0.25">
      <c r="B48" s="1026" t="str">
        <f>IF(ctArbeitsgebiete!E20&lt;&gt;"",ctArbeitsgebiete!E20,"")</f>
        <v/>
      </c>
      <c r="C48" s="1013"/>
      <c r="D48" s="1027">
        <f>(IF(ctJahresuebersicht!$AB68&gt;0,IF(ROUND(100/ctJahresuebersicht!$AB$15*ctJahresuebersicht!$AB68/100*ctJahresuebersicht!$AB$7,)&lt;1,ROUND(100/ctJahresuebersicht!$AB$15*ctJahresuebersicht!$AB68/100*ctJahresuebersicht!$AB$7,2),ROUND(100/ctJahresuebersicht!$AB$15*ctJahresuebersicht!$AB68/100*ctJahresuebersicht!$AB$7,)),0))</f>
        <v>0</v>
      </c>
      <c r="E48" s="1014"/>
      <c r="F48" s="1028">
        <f>ctJahresuebersicht!AB68</f>
        <v>0</v>
      </c>
      <c r="G48" s="1016"/>
      <c r="H48" s="1017"/>
      <c r="I48" s="26"/>
      <c r="J48" s="1018"/>
      <c r="O48" s="15"/>
    </row>
    <row r="49" spans="2:15" x14ac:dyDescent="0.2">
      <c r="B49" s="892" t="str">
        <f>IF(ctArbeitsgebiete!H9&lt;&gt;"",ctArbeitsgebiete!H9,"")</f>
        <v/>
      </c>
      <c r="C49" s="23"/>
      <c r="D49" s="47">
        <f>(IF(ctJahresuebersicht!$AB69&gt;0,IF(ROUND(100/ctJahresuebersicht!$AB$15*ctJahresuebersicht!$AB69/100*ctJahresuebersicht!$AB$7,)&lt;1,ROUND(100/ctJahresuebersicht!$AB$15*ctJahresuebersicht!$AB69/100*ctJahresuebersicht!$AB$7,2),ROUND(100/ctJahresuebersicht!$AB$15*ctJahresuebersicht!$AB69/100*ctJahresuebersicht!$AB$7,)),0))</f>
        <v>0</v>
      </c>
      <c r="E49" s="703"/>
      <c r="F49" s="893">
        <f>ctJahresuebersicht!AB69</f>
        <v>0</v>
      </c>
      <c r="G49" s="24"/>
      <c r="H49" s="269"/>
      <c r="I49" s="704"/>
      <c r="J49" s="707"/>
      <c r="O49" s="15"/>
    </row>
    <row r="50" spans="2:15" x14ac:dyDescent="0.2">
      <c r="B50" s="1029" t="str">
        <f>IF(ctArbeitsgebiete!H10&lt;&gt;"",ctArbeitsgebiete!H10,"")</f>
        <v/>
      </c>
      <c r="C50" s="727"/>
      <c r="D50" s="1030">
        <f>(IF(ctJahresuebersicht!$AB70&gt;0,IF(ROUND(100/ctJahresuebersicht!$AB$15*ctJahresuebersicht!$AB70/100*ctJahresuebersicht!$AB$7,)&lt;1,ROUND(100/ctJahresuebersicht!$AB$15*ctJahresuebersicht!$AB70/100*ctJahresuebersicht!$AB$7,2),ROUND(100/ctJahresuebersicht!$AB$15*ctJahresuebersicht!$AB70/100*ctJahresuebersicht!$AB$7,)),0))</f>
        <v>0</v>
      </c>
      <c r="E50" s="1009"/>
      <c r="F50" s="1031">
        <f>ctJahresuebersicht!AB70</f>
        <v>0</v>
      </c>
      <c r="G50" s="1011"/>
      <c r="H50" s="1012"/>
      <c r="I50" s="26"/>
      <c r="J50" s="708"/>
      <c r="O50" s="15"/>
    </row>
    <row r="51" spans="2:15" x14ac:dyDescent="0.2">
      <c r="B51" s="1029" t="str">
        <f>IF(ctArbeitsgebiete!H11&lt;&gt;"",ctArbeitsgebiete!H11,"")</f>
        <v/>
      </c>
      <c r="C51" s="727"/>
      <c r="D51" s="1030">
        <f>(IF(ctJahresuebersicht!$AB71&gt;0,IF(ROUND(100/ctJahresuebersicht!$AB$15*ctJahresuebersicht!$AB71/100*ctJahresuebersicht!$AB$7,)&lt;1,ROUND(100/ctJahresuebersicht!$AB$15*ctJahresuebersicht!$AB71/100*ctJahresuebersicht!$AB$7,2),ROUND(100/ctJahresuebersicht!$AB$15*ctJahresuebersicht!$AB71/100*ctJahresuebersicht!$AB$7,)),0))</f>
        <v>0</v>
      </c>
      <c r="E51" s="1009"/>
      <c r="F51" s="1031">
        <f>ctJahresuebersicht!AB71</f>
        <v>0</v>
      </c>
      <c r="G51" s="1011"/>
      <c r="H51" s="1012"/>
      <c r="I51" s="26"/>
      <c r="J51" s="708"/>
      <c r="O51" s="15"/>
    </row>
    <row r="52" spans="2:15" x14ac:dyDescent="0.2">
      <c r="B52" s="1029" t="str">
        <f>IF(ctArbeitsgebiete!H12&lt;&gt;"",ctArbeitsgebiete!H12,"")</f>
        <v/>
      </c>
      <c r="C52" s="727"/>
      <c r="D52" s="1030">
        <f>(IF(ctJahresuebersicht!$AB72&gt;0,IF(ROUND(100/ctJahresuebersicht!$AB$15*ctJahresuebersicht!$AB72/100*ctJahresuebersicht!$AB$7,)&lt;1,ROUND(100/ctJahresuebersicht!$AB$15*ctJahresuebersicht!$AB72/100*ctJahresuebersicht!$AB$7,2),ROUND(100/ctJahresuebersicht!$AB$15*ctJahresuebersicht!$AB72/100*ctJahresuebersicht!$AB$7,)),0))</f>
        <v>0</v>
      </c>
      <c r="E52" s="1009"/>
      <c r="F52" s="1031">
        <f>ctJahresuebersicht!AB72</f>
        <v>0</v>
      </c>
      <c r="G52" s="1011"/>
      <c r="H52" s="1012"/>
      <c r="I52" s="26"/>
      <c r="J52" s="708"/>
      <c r="O52" s="15"/>
    </row>
    <row r="53" spans="2:15" x14ac:dyDescent="0.2">
      <c r="B53" s="1029" t="str">
        <f>IF(ctArbeitsgebiete!H13&lt;&gt;"",ctArbeitsgebiete!H13,"")</f>
        <v/>
      </c>
      <c r="C53" s="727"/>
      <c r="D53" s="1030">
        <f>(IF(ctJahresuebersicht!$AB73&gt;0,IF(ROUND(100/ctJahresuebersicht!$AB$15*ctJahresuebersicht!$AB73/100*ctJahresuebersicht!$AB$7,)&lt;1,ROUND(100/ctJahresuebersicht!$AB$15*ctJahresuebersicht!$AB73/100*ctJahresuebersicht!$AB$7,2),ROUND(100/ctJahresuebersicht!$AB$15*ctJahresuebersicht!$AB73/100*ctJahresuebersicht!$AB$7,)),0))</f>
        <v>0</v>
      </c>
      <c r="E53" s="1009"/>
      <c r="F53" s="1031">
        <f>ctJahresuebersicht!AB73</f>
        <v>0</v>
      </c>
      <c r="G53" s="1011"/>
      <c r="H53" s="1012"/>
      <c r="I53" s="26"/>
      <c r="J53" s="708"/>
      <c r="O53" s="15"/>
    </row>
    <row r="54" spans="2:15" x14ac:dyDescent="0.2">
      <c r="B54" s="1029" t="str">
        <f>IF(ctArbeitsgebiete!H14&lt;&gt;"",ctArbeitsgebiete!H14,"")</f>
        <v/>
      </c>
      <c r="C54" s="727"/>
      <c r="D54" s="1030">
        <f>(IF(ctJahresuebersicht!$AB74&gt;0,IF(ROUND(100/ctJahresuebersicht!$AB$15*ctJahresuebersicht!$AB74/100*ctJahresuebersicht!$AB$7,)&lt;1,ROUND(100/ctJahresuebersicht!$AB$15*ctJahresuebersicht!$AB74/100*ctJahresuebersicht!$AB$7,2),ROUND(100/ctJahresuebersicht!$AB$15*ctJahresuebersicht!$AB74/100*ctJahresuebersicht!$AB$7,)),0))</f>
        <v>0</v>
      </c>
      <c r="E54" s="1009"/>
      <c r="F54" s="1031">
        <f>ctJahresuebersicht!AB74</f>
        <v>0</v>
      </c>
      <c r="G54" s="1011"/>
      <c r="H54" s="1012"/>
      <c r="I54" s="26"/>
      <c r="J54" s="708"/>
      <c r="O54" s="15"/>
    </row>
    <row r="55" spans="2:15" x14ac:dyDescent="0.2">
      <c r="B55" s="1029" t="str">
        <f>IF(ctArbeitsgebiete!H15&lt;&gt;"",ctArbeitsgebiete!H15,"")</f>
        <v/>
      </c>
      <c r="C55" s="727"/>
      <c r="D55" s="1030">
        <f>(IF(ctJahresuebersicht!$AB75&gt;0,IF(ROUND(100/ctJahresuebersicht!$AB$15*ctJahresuebersicht!$AB75/100*ctJahresuebersicht!$AB$7,)&lt;1,ROUND(100/ctJahresuebersicht!$AB$15*ctJahresuebersicht!$AB75/100*ctJahresuebersicht!$AB$7,2),ROUND(100/ctJahresuebersicht!$AB$15*ctJahresuebersicht!$AB75/100*ctJahresuebersicht!$AB$7,)),0))</f>
        <v>0</v>
      </c>
      <c r="E55" s="1009"/>
      <c r="F55" s="1031">
        <f>ctJahresuebersicht!AB75</f>
        <v>0</v>
      </c>
      <c r="G55" s="1011"/>
      <c r="H55" s="1012"/>
      <c r="I55" s="26"/>
      <c r="J55" s="708"/>
      <c r="O55" s="15"/>
    </row>
    <row r="56" spans="2:15" ht="13.5" thickBot="1" x14ac:dyDescent="0.25">
      <c r="B56" s="1032" t="str">
        <f>IF(ctArbeitsgebiete!H16&lt;&gt;"",ctArbeitsgebiete!H16,"")</f>
        <v/>
      </c>
      <c r="C56" s="1013"/>
      <c r="D56" s="1033">
        <f>(IF(ctJahresuebersicht!$AB76&gt;0,IF(ROUND(100/ctJahresuebersicht!$AB$15*ctJahresuebersicht!$AB76/100*ctJahresuebersicht!$AB$7,)&lt;1,ROUND(100/ctJahresuebersicht!$AB$15*ctJahresuebersicht!$AB76/100*ctJahresuebersicht!$AB$7,2),ROUND(100/ctJahresuebersicht!$AB$15*ctJahresuebersicht!$AB76/100*ctJahresuebersicht!$AB$7,)),0))</f>
        <v>0</v>
      </c>
      <c r="E56" s="1014"/>
      <c r="F56" s="1034">
        <f>ctJahresuebersicht!AB76</f>
        <v>0</v>
      </c>
      <c r="G56" s="1016"/>
      <c r="H56" s="1017"/>
      <c r="I56" s="26"/>
      <c r="J56" s="1018"/>
      <c r="O56" s="15"/>
    </row>
    <row r="57" spans="2:15" x14ac:dyDescent="0.2">
      <c r="B57" s="894" t="str">
        <f>IF(ctArbeitsgebiete!K9&lt;&gt;"",ctArbeitsgebiete!K9,"")</f>
        <v>DAG</v>
      </c>
      <c r="C57" s="23"/>
      <c r="D57" s="48">
        <f>(IF(ctJahresuebersicht!$AB77&gt;0,IF(ROUND(100/ctJahresuebersicht!$AB$15*ctJahresuebersicht!$AB77/100*ctJahresuebersicht!$AB$7,)&lt;1,ROUND(100/ctJahresuebersicht!$AB$15*ctJahresuebersicht!$AB77/100*ctJahresuebersicht!$AB$7,2),ROUND(100/ctJahresuebersicht!$AB$15*ctJahresuebersicht!$AB77/100*ctJahresuebersicht!$AB$7,)),0))</f>
        <v>0</v>
      </c>
      <c r="E57" s="703"/>
      <c r="F57" s="895">
        <f>ctJahresuebersicht!AB77</f>
        <v>0</v>
      </c>
      <c r="G57" s="24"/>
      <c r="H57" s="269"/>
      <c r="I57" s="704"/>
      <c r="J57" s="707"/>
      <c r="O57" s="15"/>
    </row>
    <row r="58" spans="2:15" x14ac:dyDescent="0.2">
      <c r="B58" s="1035" t="str">
        <f>IF(ctArbeitsgebiete!K10&lt;&gt;"",ctArbeitsgebiete!K10,"")</f>
        <v>Betriebsausflug</v>
      </c>
      <c r="C58" s="727"/>
      <c r="D58" s="1036">
        <f>(IF(ctJahresuebersicht!$AB78&gt;0,IF(ROUND(100/ctJahresuebersicht!$AB$15*ctJahresuebersicht!$AB78/100*ctJahresuebersicht!$AB$7,)&lt;1,ROUND(100/ctJahresuebersicht!$AB$15*ctJahresuebersicht!$AB78/100*ctJahresuebersicht!$AB$7,2),ROUND(100/ctJahresuebersicht!$AB$15*ctJahresuebersicht!$AB78/100*ctJahresuebersicht!$AB$7,)),0))</f>
        <v>0</v>
      </c>
      <c r="E58" s="1009"/>
      <c r="F58" s="1037">
        <f>ctJahresuebersicht!AB78</f>
        <v>0</v>
      </c>
      <c r="G58" s="1011"/>
      <c r="H58" s="1012"/>
      <c r="I58" s="26"/>
      <c r="J58" s="708"/>
      <c r="O58" s="15"/>
    </row>
    <row r="59" spans="2:15" x14ac:dyDescent="0.2">
      <c r="B59" s="1035" t="str">
        <f>IF(ctArbeitsgebiete!K11&lt;&gt;"",ctArbeitsgebiete!K11,"")</f>
        <v/>
      </c>
      <c r="C59" s="727"/>
      <c r="D59" s="1036">
        <f>(IF(ctJahresuebersicht!$AB79&gt;0,IF(ROUND(100/ctJahresuebersicht!$AB$15*ctJahresuebersicht!$AB79/100*ctJahresuebersicht!$AB$7,)&lt;1,ROUND(100/ctJahresuebersicht!$AB$15*ctJahresuebersicht!$AB79/100*ctJahresuebersicht!$AB$7,2),ROUND(100/ctJahresuebersicht!$AB$15*ctJahresuebersicht!$AB79/100*ctJahresuebersicht!$AB$7,)),0))</f>
        <v>0</v>
      </c>
      <c r="E59" s="1009"/>
      <c r="F59" s="1037">
        <f>ctJahresuebersicht!AB79</f>
        <v>0</v>
      </c>
      <c r="G59" s="1011"/>
      <c r="H59" s="1012"/>
      <c r="I59" s="26"/>
      <c r="J59" s="708"/>
      <c r="O59" s="15"/>
    </row>
    <row r="60" spans="2:15" x14ac:dyDescent="0.2">
      <c r="B60" s="1035" t="str">
        <f>IF(ctArbeitsgebiete!K12&lt;&gt;"",ctArbeitsgebiete!K12,"")</f>
        <v/>
      </c>
      <c r="C60" s="727"/>
      <c r="D60" s="1036">
        <f>(IF(ctJahresuebersicht!$AB80&gt;0,IF(ROUND(100/ctJahresuebersicht!$AB$15*ctJahresuebersicht!$AB80/100*ctJahresuebersicht!$AB$7,)&lt;1,ROUND(100/ctJahresuebersicht!$AB$15*ctJahresuebersicht!$AB80/100*ctJahresuebersicht!$AB$7,2),ROUND(100/ctJahresuebersicht!$AB$15*ctJahresuebersicht!$AB80/100*ctJahresuebersicht!$AB$7,)),0))</f>
        <v>0</v>
      </c>
      <c r="E60" s="1009"/>
      <c r="F60" s="1037">
        <f>ctJahresuebersicht!AB80</f>
        <v>0</v>
      </c>
      <c r="G60" s="1011"/>
      <c r="H60" s="1012"/>
      <c r="I60" s="26"/>
      <c r="J60" s="708"/>
      <c r="O60" s="15"/>
    </row>
    <row r="61" spans="2:15" x14ac:dyDescent="0.2">
      <c r="B61" s="1035" t="str">
        <f>IF(ctArbeitsgebiete!K13&lt;&gt;"",ctArbeitsgebiete!K13,"")</f>
        <v/>
      </c>
      <c r="C61" s="727"/>
      <c r="D61" s="1036">
        <f>(IF(ctJahresuebersicht!$AB81&gt;0,IF(ROUND(100/ctJahresuebersicht!$AB$15*ctJahresuebersicht!$AB81/100*ctJahresuebersicht!$AB$7,)&lt;1,ROUND(100/ctJahresuebersicht!$AB$15*ctJahresuebersicht!$AB81/100*ctJahresuebersicht!$AB$7,2),ROUND(100/ctJahresuebersicht!$AB$15*ctJahresuebersicht!$AB81/100*ctJahresuebersicht!$AB$7,)),0))</f>
        <v>0</v>
      </c>
      <c r="E61" s="1009"/>
      <c r="F61" s="1037">
        <f>ctJahresuebersicht!AB81</f>
        <v>0</v>
      </c>
      <c r="G61" s="1011"/>
      <c r="H61" s="1012"/>
      <c r="I61" s="26"/>
      <c r="J61" s="708"/>
      <c r="O61" s="15"/>
    </row>
    <row r="62" spans="2:15" x14ac:dyDescent="0.2">
      <c r="B62" s="1035" t="str">
        <f>IF(ctArbeitsgebiete!K14&lt;&gt;"",ctArbeitsgebiete!K14,"")</f>
        <v/>
      </c>
      <c r="C62" s="727"/>
      <c r="D62" s="1036">
        <f>(IF(ctJahresuebersicht!$AB82&gt;0,IF(ROUND(100/ctJahresuebersicht!$AB$15*ctJahresuebersicht!$AB82/100*ctJahresuebersicht!$AB$7,)&lt;1,ROUND(100/ctJahresuebersicht!$AB$15*ctJahresuebersicht!$AB82/100*ctJahresuebersicht!$AB$7,2),ROUND(100/ctJahresuebersicht!$AB$15*ctJahresuebersicht!$AB82/100*ctJahresuebersicht!$AB$7,)),0))</f>
        <v>0</v>
      </c>
      <c r="E62" s="1009"/>
      <c r="F62" s="1037">
        <f>ctJahresuebersicht!AB82</f>
        <v>0</v>
      </c>
      <c r="G62" s="1011"/>
      <c r="H62" s="1012"/>
      <c r="I62" s="26"/>
      <c r="J62" s="708"/>
      <c r="O62" s="15"/>
    </row>
    <row r="63" spans="2:15" x14ac:dyDescent="0.2">
      <c r="B63" s="1035" t="str">
        <f>IF(ctArbeitsgebiete!K15&lt;&gt;"",ctArbeitsgebiete!K15,"")</f>
        <v/>
      </c>
      <c r="C63" s="727"/>
      <c r="D63" s="1036">
        <f>(IF(ctJahresuebersicht!$AB83&gt;0,IF(ROUND(100/ctJahresuebersicht!$AB$15*ctJahresuebersicht!$AB83/100*ctJahresuebersicht!$AB$7,)&lt;1,ROUND(100/ctJahresuebersicht!$AB$15*ctJahresuebersicht!$AB83/100*ctJahresuebersicht!$AB$7,2),ROUND(100/ctJahresuebersicht!$AB$15*ctJahresuebersicht!$AB83/100*ctJahresuebersicht!$AB$7,)),0))</f>
        <v>0</v>
      </c>
      <c r="E63" s="1009"/>
      <c r="F63" s="1037">
        <f>ctJahresuebersicht!AB83</f>
        <v>0</v>
      </c>
      <c r="G63" s="1011"/>
      <c r="H63" s="1012"/>
      <c r="I63" s="26"/>
      <c r="J63" s="708"/>
      <c r="O63" s="15"/>
    </row>
    <row r="64" spans="2:15" ht="13.5" thickBot="1" x14ac:dyDescent="0.25">
      <c r="B64" s="1038" t="str">
        <f>IF(ctArbeitsgebiete!K16&lt;&gt;"",ctArbeitsgebiete!K16,"")</f>
        <v/>
      </c>
      <c r="C64" s="1013"/>
      <c r="D64" s="1039">
        <f>(IF(ctJahresuebersicht!$AB84&gt;0,IF(ROUND(100/ctJahresuebersicht!$AB$15*ctJahresuebersicht!$AB84/100*ctJahresuebersicht!$AB$7,)&lt;1,ROUND(100/ctJahresuebersicht!$AB$15*ctJahresuebersicht!$AB84/100*ctJahresuebersicht!$AB$7,2),ROUND(100/ctJahresuebersicht!$AB$15*ctJahresuebersicht!$AB84/100*ctJahresuebersicht!$AB$7,)),0))</f>
        <v>0</v>
      </c>
      <c r="E64" s="1014"/>
      <c r="F64" s="1040">
        <f>ctJahresuebersicht!AB84</f>
        <v>0</v>
      </c>
      <c r="G64" s="1016"/>
      <c r="H64" s="1017"/>
      <c r="I64" s="26"/>
      <c r="J64" s="1018"/>
      <c r="O64" s="15"/>
    </row>
    <row r="65" spans="2:15" ht="18.75" customHeight="1" x14ac:dyDescent="0.2">
      <c r="B65" s="34"/>
      <c r="D65" s="28"/>
      <c r="E65" s="29"/>
      <c r="H65" s="28"/>
      <c r="I65" s="704"/>
      <c r="J65" s="25"/>
      <c r="O65" s="15"/>
    </row>
    <row r="66" spans="2:15" x14ac:dyDescent="0.2">
      <c r="B66" s="49"/>
      <c r="I66" s="26"/>
      <c r="O66" s="15"/>
    </row>
    <row r="67" spans="2:15" x14ac:dyDescent="0.2">
      <c r="I67" s="26"/>
      <c r="O67" s="15"/>
    </row>
    <row r="68" spans="2:15" x14ac:dyDescent="0.2">
      <c r="I68" s="26"/>
      <c r="O68" s="15"/>
    </row>
    <row r="69" spans="2:15" x14ac:dyDescent="0.2">
      <c r="I69" s="26"/>
      <c r="O69" s="15"/>
    </row>
    <row r="70" spans="2:15" x14ac:dyDescent="0.2">
      <c r="I70" s="26"/>
      <c r="O70" s="15"/>
    </row>
    <row r="71" spans="2:15" x14ac:dyDescent="0.2">
      <c r="I71" s="26"/>
      <c r="O71" s="15"/>
    </row>
    <row r="72" spans="2:15" x14ac:dyDescent="0.2">
      <c r="I72" s="26"/>
    </row>
    <row r="73" spans="2:15" x14ac:dyDescent="0.2">
      <c r="I73" s="26"/>
    </row>
    <row r="74" spans="2:15" x14ac:dyDescent="0.2">
      <c r="I74" s="26"/>
    </row>
    <row r="75" spans="2:15" x14ac:dyDescent="0.2">
      <c r="I75" s="26"/>
    </row>
    <row r="76" spans="2:15" x14ac:dyDescent="0.2">
      <c r="I76" s="26"/>
    </row>
    <row r="77" spans="2:15" x14ac:dyDescent="0.2">
      <c r="I77" s="26"/>
    </row>
    <row r="78" spans="2:15" x14ac:dyDescent="0.2">
      <c r="I78" s="26"/>
    </row>
    <row r="79" spans="2:15" x14ac:dyDescent="0.2">
      <c r="I79" s="26"/>
    </row>
    <row r="80" spans="2:15" x14ac:dyDescent="0.2">
      <c r="I80" s="26"/>
    </row>
    <row r="81" spans="9:9" x14ac:dyDescent="0.2">
      <c r="I81" s="26"/>
    </row>
    <row r="82" spans="9:9" x14ac:dyDescent="0.2">
      <c r="I82" s="26"/>
    </row>
    <row r="83" spans="9:9" x14ac:dyDescent="0.2">
      <c r="I83" s="26"/>
    </row>
    <row r="84" spans="9:9" x14ac:dyDescent="0.2">
      <c r="I84" s="26"/>
    </row>
    <row r="85" spans="9:9" x14ac:dyDescent="0.2">
      <c r="I85" s="26"/>
    </row>
    <row r="86" spans="9:9" x14ac:dyDescent="0.2">
      <c r="I86" s="26"/>
    </row>
    <row r="87" spans="9:9" x14ac:dyDescent="0.2">
      <c r="I87" s="26"/>
    </row>
    <row r="88" spans="9:9" x14ac:dyDescent="0.2">
      <c r="I88" s="26"/>
    </row>
    <row r="89" spans="9:9" x14ac:dyDescent="0.2">
      <c r="I89" s="26"/>
    </row>
    <row r="90" spans="9:9" x14ac:dyDescent="0.2">
      <c r="I90" s="26"/>
    </row>
    <row r="91" spans="9:9" x14ac:dyDescent="0.2">
      <c r="I91" s="26"/>
    </row>
    <row r="92" spans="9:9" x14ac:dyDescent="0.2">
      <c r="I92" s="26"/>
    </row>
    <row r="93" spans="9:9" x14ac:dyDescent="0.2">
      <c r="I93" s="26"/>
    </row>
    <row r="94" spans="9:9" x14ac:dyDescent="0.2">
      <c r="I94" s="26"/>
    </row>
    <row r="95" spans="9:9" x14ac:dyDescent="0.2">
      <c r="I95" s="26"/>
    </row>
    <row r="96" spans="9:9" x14ac:dyDescent="0.2">
      <c r="I96" s="26"/>
    </row>
    <row r="97" spans="9:9" x14ac:dyDescent="0.2">
      <c r="I97" s="26"/>
    </row>
    <row r="98" spans="9:9" x14ac:dyDescent="0.2">
      <c r="I98" s="26"/>
    </row>
    <row r="99" spans="9:9" x14ac:dyDescent="0.2">
      <c r="I99" s="26"/>
    </row>
    <row r="100" spans="9:9" x14ac:dyDescent="0.2">
      <c r="I100" s="26"/>
    </row>
  </sheetData>
  <sheetProtection algorithmName="SHA-512" hashValue="6+j46vIn8U2BqVaEvvEt3coUW0TEClm257h85ggA5Y0EbVCVoD3s9JRmdQOsyEjFgIvDV8H4MwJURv4m9GhpoQ==" saltValue="BToEf1qbY32EuNBq9S1kAg==" spinCount="100000" sheet="1" selectLockedCells="1"/>
  <mergeCells count="2">
    <mergeCell ref="B2:H2"/>
    <mergeCell ref="L6:N30"/>
  </mergeCells>
  <phoneticPr fontId="36" type="noConversion"/>
  <dataValidations count="2">
    <dataValidation type="custom" allowBlank="1" showInputMessage="1" showErrorMessage="1" sqref="M2" xr:uid="{00000000-0002-0000-0A00-000000000000}">
      <formula1>BerichtListe</formula1>
    </dataValidation>
    <dataValidation type="list" allowBlank="1" showErrorMessage="1" sqref="J2" xr:uid="{00000000-0002-0000-0A00-000001000000}">
      <formula1>BerichtListe</formula1>
    </dataValidation>
  </dataValidations>
  <printOptions horizontalCentered="1" verticalCentered="1"/>
  <pageMargins left="0.78740157480314965" right="0.78740157480314965" top="0.98425196850393704" bottom="0.98425196850393704" header="0.51181102362204722" footer="0.51181102362204722"/>
  <pageSetup paperSize="9" scale="82" orientation="portrait"/>
  <headerFoot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pageSetUpPr autoPageBreaks="0" fitToPage="1"/>
  </sheetPr>
  <dimension ref="B1:S123"/>
  <sheetViews>
    <sheetView showGridLines="0" showRowColHeaders="0" showZeros="0" showOutlineSymbols="0" workbookViewId="0">
      <pane ySplit="2" topLeftCell="A3" activePane="bottomLeft" state="frozen"/>
      <selection activeCell="B7" sqref="B7:C7"/>
      <selection pane="bottomLeft" activeCell="J2" sqref="J2"/>
    </sheetView>
  </sheetViews>
  <sheetFormatPr baseColWidth="10" defaultColWidth="11.42578125" defaultRowHeight="12.75" outlineLevelRow="1" x14ac:dyDescent="0.2"/>
  <cols>
    <col min="1" max="1" width="5.7109375" style="8" customWidth="1"/>
    <col min="2" max="8" width="11.42578125" style="8"/>
    <col min="9" max="9" width="1.85546875" style="8" customWidth="1"/>
    <col min="10" max="10" width="19.7109375" style="264" bestFit="1" customWidth="1"/>
    <col min="11" max="14" width="11.42578125" style="8"/>
    <col min="15" max="16" width="12" style="348" customWidth="1"/>
    <col min="17" max="17" width="14.85546875" style="348" customWidth="1"/>
    <col min="18" max="18" width="12.28515625" style="88" bestFit="1" customWidth="1"/>
    <col min="19" max="19" width="14.42578125" style="8" bestFit="1" customWidth="1"/>
    <col min="20" max="20" width="14" style="8" bestFit="1" customWidth="1"/>
    <col min="21" max="16384" width="11.42578125" style="8"/>
  </cols>
  <sheetData>
    <row r="1" spans="2:19" ht="18.75" thickBot="1" x14ac:dyDescent="0.25">
      <c r="B1" s="1" t="s">
        <v>402</v>
      </c>
      <c r="C1" s="2"/>
      <c r="D1" s="3"/>
      <c r="E1" s="3"/>
      <c r="F1" s="5"/>
      <c r="G1" s="6"/>
      <c r="H1" s="6"/>
      <c r="I1" s="7"/>
      <c r="J1" s="262"/>
      <c r="K1" s="263"/>
      <c r="O1" s="781"/>
      <c r="P1" s="781"/>
      <c r="Q1" s="781"/>
    </row>
    <row r="2" spans="2:19" ht="18.75" thickBot="1" x14ac:dyDescent="0.25">
      <c r="B2" s="9" t="str">
        <f>CONCATENATE("Arbeitszeit ",Berichtsjahr," von ",Mitarbeiter)</f>
        <v>Arbeitszeit 2026 von Max Muster, Musterstelle</v>
      </c>
      <c r="C2" s="10"/>
      <c r="D2" s="10"/>
      <c r="E2" s="237"/>
      <c r="F2" s="11"/>
      <c r="G2" s="12"/>
      <c r="H2" s="238"/>
      <c r="I2" s="13"/>
      <c r="J2" s="266" t="s">
        <v>248</v>
      </c>
      <c r="K2" s="870"/>
      <c r="O2" s="781"/>
      <c r="P2" s="781"/>
      <c r="Q2" s="781"/>
    </row>
    <row r="4" spans="2:19" x14ac:dyDescent="0.2">
      <c r="O4" s="781"/>
      <c r="P4" s="781"/>
      <c r="Q4" s="781"/>
      <c r="S4" s="88"/>
    </row>
    <row r="5" spans="2:19" x14ac:dyDescent="0.2">
      <c r="O5" s="781"/>
      <c r="P5" s="781"/>
      <c r="Q5" s="781"/>
      <c r="S5" s="88"/>
    </row>
    <row r="6" spans="2:19" ht="12.75" customHeight="1" x14ac:dyDescent="0.2">
      <c r="B6" s="34" t="s">
        <v>403</v>
      </c>
      <c r="L6" s="1243" t="s">
        <v>404</v>
      </c>
      <c r="M6" s="1243"/>
      <c r="N6" s="1243"/>
      <c r="O6" s="878"/>
      <c r="P6" s="349"/>
      <c r="Q6" s="878"/>
      <c r="S6" s="88"/>
    </row>
    <row r="7" spans="2:19" x14ac:dyDescent="0.2">
      <c r="L7" s="1243"/>
      <c r="M7" s="1243"/>
      <c r="N7" s="1243"/>
      <c r="O7" s="878">
        <f>ctJahresuebersicht!X116</f>
        <v>114</v>
      </c>
      <c r="P7" s="878">
        <f>ctArbeitsgebiete!H20</f>
        <v>0</v>
      </c>
      <c r="Q7" s="350">
        <f>ctJahresuebersicht!AC116</f>
        <v>0</v>
      </c>
      <c r="S7" s="88"/>
    </row>
    <row r="8" spans="2:19" x14ac:dyDescent="0.2">
      <c r="L8" s="1243"/>
      <c r="M8" s="1243"/>
      <c r="N8" s="1243"/>
      <c r="O8" s="878">
        <f>ctJahresuebersicht!X117</f>
        <v>115</v>
      </c>
      <c r="P8" s="878">
        <f>ctArbeitsgebiete!H21</f>
        <v>0</v>
      </c>
      <c r="Q8" s="350">
        <f>ctJahresuebersicht!AC117</f>
        <v>0</v>
      </c>
      <c r="S8" s="88"/>
    </row>
    <row r="9" spans="2:19" x14ac:dyDescent="0.2">
      <c r="B9" s="8" t="str">
        <f t="shared" ref="B9:B16" si="0">IF(P7=0,"",P7)</f>
        <v/>
      </c>
      <c r="E9" s="85"/>
      <c r="F9" s="896" t="s">
        <v>405</v>
      </c>
      <c r="G9" s="896">
        <f t="shared" ref="G9:G16" si="1">Q7</f>
        <v>0</v>
      </c>
      <c r="L9" s="1243"/>
      <c r="M9" s="1243"/>
      <c r="N9" s="1243"/>
      <c r="O9" s="878">
        <f>ctJahresuebersicht!X118</f>
        <v>116</v>
      </c>
      <c r="P9" s="878">
        <f>ctArbeitsgebiete!H22</f>
        <v>0</v>
      </c>
      <c r="Q9" s="350">
        <f>ctJahresuebersicht!AC118</f>
        <v>0</v>
      </c>
      <c r="S9" s="88"/>
    </row>
    <row r="10" spans="2:19" x14ac:dyDescent="0.2">
      <c r="B10" s="8" t="str">
        <f t="shared" si="0"/>
        <v/>
      </c>
      <c r="F10" s="896" t="s">
        <v>405</v>
      </c>
      <c r="G10" s="896">
        <f t="shared" si="1"/>
        <v>0</v>
      </c>
      <c r="L10" s="1243"/>
      <c r="M10" s="1243"/>
      <c r="N10" s="1243"/>
      <c r="O10" s="878">
        <f>ctJahresuebersicht!X119</f>
        <v>117</v>
      </c>
      <c r="P10" s="878">
        <f>ctArbeitsgebiete!H23</f>
        <v>0</v>
      </c>
      <c r="Q10" s="350">
        <f>ctJahresuebersicht!AC119</f>
        <v>0</v>
      </c>
      <c r="S10" s="88"/>
    </row>
    <row r="11" spans="2:19" x14ac:dyDescent="0.2">
      <c r="B11" s="8" t="str">
        <f t="shared" si="0"/>
        <v/>
      </c>
      <c r="F11" s="896" t="s">
        <v>405</v>
      </c>
      <c r="G11" s="896">
        <f t="shared" si="1"/>
        <v>0</v>
      </c>
      <c r="L11" s="1243"/>
      <c r="M11" s="1243"/>
      <c r="N11" s="1243"/>
      <c r="O11" s="878">
        <f>ctJahresuebersicht!X120</f>
        <v>118</v>
      </c>
      <c r="P11" s="781">
        <f>ctArbeitsgebiete!H24</f>
        <v>0</v>
      </c>
      <c r="Q11" s="350">
        <f>ctJahresuebersicht!AC120</f>
        <v>0</v>
      </c>
      <c r="S11" s="88"/>
    </row>
    <row r="12" spans="2:19" x14ac:dyDescent="0.2">
      <c r="B12" s="8" t="str">
        <f t="shared" si="0"/>
        <v/>
      </c>
      <c r="F12" s="896" t="s">
        <v>405</v>
      </c>
      <c r="G12" s="896">
        <f t="shared" si="1"/>
        <v>0</v>
      </c>
      <c r="L12" s="1243"/>
      <c r="M12" s="1243"/>
      <c r="N12" s="1243"/>
      <c r="O12" s="878">
        <f>ctJahresuebersicht!X121</f>
        <v>119</v>
      </c>
      <c r="P12" s="878">
        <f>ctArbeitsgebiete!H25</f>
        <v>0</v>
      </c>
      <c r="Q12" s="350">
        <f>ctJahresuebersicht!AC121</f>
        <v>0</v>
      </c>
      <c r="S12" s="88"/>
    </row>
    <row r="13" spans="2:19" x14ac:dyDescent="0.2">
      <c r="B13" s="8" t="str">
        <f t="shared" si="0"/>
        <v/>
      </c>
      <c r="F13" s="896" t="s">
        <v>405</v>
      </c>
      <c r="G13" s="896">
        <f t="shared" si="1"/>
        <v>0</v>
      </c>
      <c r="L13" s="1243"/>
      <c r="M13" s="1243"/>
      <c r="N13" s="1243"/>
      <c r="O13" s="878">
        <f>ctJahresuebersicht!X122</f>
        <v>120</v>
      </c>
      <c r="P13" s="878">
        <f>ctArbeitsgebiete!H26</f>
        <v>0</v>
      </c>
      <c r="Q13" s="350">
        <f>ctJahresuebersicht!AC122</f>
        <v>0</v>
      </c>
      <c r="S13" s="88"/>
    </row>
    <row r="14" spans="2:19" x14ac:dyDescent="0.2">
      <c r="B14" s="8" t="str">
        <f t="shared" si="0"/>
        <v/>
      </c>
      <c r="F14" s="896" t="s">
        <v>405</v>
      </c>
      <c r="G14" s="896">
        <f t="shared" si="1"/>
        <v>0</v>
      </c>
      <c r="L14" s="1243"/>
      <c r="M14" s="1243"/>
      <c r="N14" s="1243"/>
      <c r="O14" s="878">
        <f>ctJahresuebersicht!X123</f>
        <v>121</v>
      </c>
      <c r="P14" s="878">
        <f>ctArbeitsgebiete!H27</f>
        <v>0</v>
      </c>
      <c r="Q14" s="350">
        <f>ctJahresuebersicht!AC123</f>
        <v>0</v>
      </c>
      <c r="S14" s="88"/>
    </row>
    <row r="15" spans="2:19" x14ac:dyDescent="0.2">
      <c r="B15" s="8" t="str">
        <f t="shared" si="0"/>
        <v/>
      </c>
      <c r="F15" s="896" t="s">
        <v>405</v>
      </c>
      <c r="G15" s="896">
        <f t="shared" si="1"/>
        <v>0</v>
      </c>
      <c r="L15" s="1243"/>
      <c r="M15" s="1243"/>
      <c r="N15" s="1243"/>
      <c r="O15" s="781"/>
      <c r="P15" s="781"/>
      <c r="Q15" s="781"/>
      <c r="S15" s="88"/>
    </row>
    <row r="16" spans="2:19" x14ac:dyDescent="0.2">
      <c r="B16" s="8" t="str">
        <f t="shared" si="0"/>
        <v/>
      </c>
      <c r="F16" s="896" t="s">
        <v>405</v>
      </c>
      <c r="G16" s="896">
        <f t="shared" si="1"/>
        <v>0</v>
      </c>
      <c r="L16" s="1243"/>
      <c r="M16" s="1243"/>
      <c r="N16" s="1243"/>
      <c r="O16" s="878">
        <f>ctJahresuebersicht!X124</f>
        <v>122</v>
      </c>
      <c r="P16" s="878">
        <f>ctArbeitsgebiete!E24</f>
        <v>0</v>
      </c>
      <c r="Q16" s="350">
        <f>ctJahresuebersicht!AC124</f>
        <v>0</v>
      </c>
      <c r="S16" s="88"/>
    </row>
    <row r="17" spans="12:19" x14ac:dyDescent="0.2">
      <c r="L17" s="1243"/>
      <c r="M17" s="1243"/>
      <c r="N17" s="1243"/>
      <c r="O17" s="878">
        <f>ctJahresuebersicht!X125</f>
        <v>123</v>
      </c>
      <c r="P17" s="878">
        <f>ctArbeitsgebiete!E25</f>
        <v>0</v>
      </c>
      <c r="Q17" s="350">
        <f>ctJahresuebersicht!AC125</f>
        <v>0</v>
      </c>
      <c r="S17" s="88"/>
    </row>
    <row r="18" spans="12:19" x14ac:dyDescent="0.2">
      <c r="L18" s="1243"/>
      <c r="M18" s="1243"/>
      <c r="N18" s="1243"/>
      <c r="O18" s="878">
        <f>ctJahresuebersicht!X126</f>
        <v>124</v>
      </c>
      <c r="P18" s="878">
        <f>ctArbeitsgebiete!E26</f>
        <v>0</v>
      </c>
      <c r="Q18" s="350">
        <f>ctJahresuebersicht!AC126</f>
        <v>0</v>
      </c>
      <c r="S18" s="88"/>
    </row>
    <row r="19" spans="12:19" x14ac:dyDescent="0.2">
      <c r="L19" s="1243"/>
      <c r="M19" s="1243"/>
      <c r="N19" s="1243"/>
      <c r="O19" s="878">
        <f>ctJahresuebersicht!X127</f>
        <v>125</v>
      </c>
      <c r="P19" s="878">
        <f>ctArbeitsgebiete!E27</f>
        <v>0</v>
      </c>
      <c r="Q19" s="350">
        <f>ctJahresuebersicht!AC127</f>
        <v>0</v>
      </c>
      <c r="S19" s="88"/>
    </row>
    <row r="20" spans="12:19" x14ac:dyDescent="0.2">
      <c r="L20" s="1243"/>
      <c r="M20" s="1243"/>
      <c r="N20" s="1243"/>
      <c r="O20" s="878"/>
      <c r="P20" s="878"/>
      <c r="Q20" s="351"/>
      <c r="S20" s="88"/>
    </row>
    <row r="21" spans="12:19" x14ac:dyDescent="0.2">
      <c r="L21" s="1243"/>
      <c r="M21" s="1243"/>
      <c r="N21" s="1243"/>
      <c r="O21" s="878"/>
      <c r="P21" s="878"/>
      <c r="Q21" s="351"/>
      <c r="S21" s="88"/>
    </row>
    <row r="22" spans="12:19" x14ac:dyDescent="0.2">
      <c r="L22" s="1243"/>
      <c r="M22" s="1243"/>
      <c r="N22" s="1243"/>
      <c r="O22" s="878"/>
      <c r="P22" s="878"/>
      <c r="Q22" s="351"/>
      <c r="S22" s="88"/>
    </row>
    <row r="23" spans="12:19" x14ac:dyDescent="0.2">
      <c r="L23" s="1243"/>
      <c r="M23" s="1243"/>
      <c r="N23" s="1243"/>
      <c r="O23" s="878"/>
      <c r="P23" s="878"/>
      <c r="Q23" s="351"/>
      <c r="S23" s="88"/>
    </row>
    <row r="24" spans="12:19" x14ac:dyDescent="0.2">
      <c r="O24" s="878"/>
      <c r="P24" s="878"/>
      <c r="Q24" s="351"/>
      <c r="S24" s="88"/>
    </row>
    <row r="25" spans="12:19" x14ac:dyDescent="0.2">
      <c r="O25" s="878"/>
      <c r="P25" s="878"/>
      <c r="Q25" s="351"/>
      <c r="S25" s="88"/>
    </row>
    <row r="26" spans="12:19" x14ac:dyDescent="0.2">
      <c r="O26" s="878"/>
      <c r="P26" s="878"/>
      <c r="Q26" s="351"/>
      <c r="S26" s="88"/>
    </row>
    <row r="27" spans="12:19" x14ac:dyDescent="0.2">
      <c r="O27" s="878"/>
      <c r="P27" s="265"/>
      <c r="Q27" s="879"/>
      <c r="S27" s="88"/>
    </row>
    <row r="28" spans="12:19" x14ac:dyDescent="0.2">
      <c r="O28" s="878"/>
      <c r="P28" s="265"/>
      <c r="Q28" s="879"/>
      <c r="S28" s="88"/>
    </row>
    <row r="29" spans="12:19" x14ac:dyDescent="0.2">
      <c r="O29" s="878"/>
      <c r="P29" s="265"/>
      <c r="Q29" s="879"/>
      <c r="S29" s="88"/>
    </row>
    <row r="30" spans="12:19" x14ac:dyDescent="0.2">
      <c r="O30" s="878"/>
      <c r="P30" s="265"/>
      <c r="Q30" s="879"/>
      <c r="S30" s="88"/>
    </row>
    <row r="31" spans="12:19" x14ac:dyDescent="0.2">
      <c r="O31" s="878"/>
      <c r="P31" s="265"/>
      <c r="Q31" s="879"/>
    </row>
    <row r="32" spans="12:19" x14ac:dyDescent="0.2">
      <c r="O32" s="878"/>
      <c r="P32" s="265"/>
      <c r="Q32" s="879"/>
    </row>
    <row r="33" spans="2:17" x14ac:dyDescent="0.2">
      <c r="O33" s="878"/>
      <c r="P33" s="265"/>
      <c r="Q33" s="879"/>
    </row>
    <row r="34" spans="2:17" x14ac:dyDescent="0.2">
      <c r="O34" s="878"/>
      <c r="P34" s="265"/>
      <c r="Q34" s="879"/>
    </row>
    <row r="35" spans="2:17" x14ac:dyDescent="0.2">
      <c r="O35" s="878"/>
      <c r="P35" s="265"/>
      <c r="Q35" s="879"/>
    </row>
    <row r="36" spans="2:17" x14ac:dyDescent="0.2">
      <c r="O36" s="878"/>
      <c r="P36" s="265"/>
      <c r="Q36" s="879"/>
    </row>
    <row r="37" spans="2:17" x14ac:dyDescent="0.2">
      <c r="O37" s="878"/>
      <c r="P37" s="265"/>
      <c r="Q37" s="879"/>
    </row>
    <row r="38" spans="2:17" x14ac:dyDescent="0.2">
      <c r="O38" s="878"/>
      <c r="P38" s="265"/>
      <c r="Q38" s="879"/>
    </row>
    <row r="39" spans="2:17" x14ac:dyDescent="0.2">
      <c r="O39" s="878"/>
      <c r="P39" s="265"/>
      <c r="Q39" s="879"/>
    </row>
    <row r="40" spans="2:17" x14ac:dyDescent="0.2">
      <c r="O40" s="878"/>
      <c r="P40" s="265"/>
      <c r="Q40" s="879"/>
    </row>
    <row r="41" spans="2:17" x14ac:dyDescent="0.2">
      <c r="O41" s="878"/>
      <c r="P41" s="265"/>
      <c r="Q41" s="879"/>
    </row>
    <row r="42" spans="2:17" x14ac:dyDescent="0.2">
      <c r="O42" s="878"/>
      <c r="P42" s="265"/>
      <c r="Q42" s="879"/>
    </row>
    <row r="43" spans="2:17" x14ac:dyDescent="0.2">
      <c r="O43" s="878"/>
      <c r="P43" s="265"/>
      <c r="Q43" s="879"/>
    </row>
    <row r="44" spans="2:17" x14ac:dyDescent="0.2">
      <c r="O44" s="878"/>
      <c r="P44" s="265"/>
      <c r="Q44" s="879"/>
    </row>
    <row r="45" spans="2:17" x14ac:dyDescent="0.2">
      <c r="O45" s="878"/>
      <c r="P45" s="265"/>
      <c r="Q45" s="879"/>
    </row>
    <row r="46" spans="2:17" x14ac:dyDescent="0.2">
      <c r="O46" s="878"/>
      <c r="P46" s="265"/>
      <c r="Q46" s="879"/>
    </row>
    <row r="47" spans="2:17" x14ac:dyDescent="0.2">
      <c r="O47" s="878"/>
      <c r="P47" s="265"/>
      <c r="Q47" s="879"/>
    </row>
    <row r="48" spans="2:17" x14ac:dyDescent="0.2">
      <c r="B48" s="8" t="str">
        <f>IF(P16=0,"",P16)</f>
        <v/>
      </c>
      <c r="F48" s="896" t="s">
        <v>405</v>
      </c>
      <c r="G48" s="896">
        <f>Q16</f>
        <v>0</v>
      </c>
      <c r="O48" s="878"/>
      <c r="P48" s="265"/>
      <c r="Q48" s="879"/>
    </row>
    <row r="49" spans="2:17" x14ac:dyDescent="0.2">
      <c r="B49" s="8" t="str">
        <f>IF(P17=0,"",P17)</f>
        <v/>
      </c>
      <c r="F49" s="896" t="s">
        <v>405</v>
      </c>
      <c r="G49" s="896">
        <f>Q17</f>
        <v>0</v>
      </c>
      <c r="O49" s="878"/>
      <c r="P49" s="265"/>
      <c r="Q49" s="879"/>
    </row>
    <row r="50" spans="2:17" x14ac:dyDescent="0.2">
      <c r="B50" s="8" t="str">
        <f>IF(P18=0,"",P18)</f>
        <v/>
      </c>
      <c r="F50" s="896" t="s">
        <v>405</v>
      </c>
      <c r="G50" s="896">
        <f>Q18</f>
        <v>0</v>
      </c>
      <c r="O50" s="878"/>
      <c r="P50" s="265"/>
      <c r="Q50" s="879"/>
    </row>
    <row r="51" spans="2:17" x14ac:dyDescent="0.2">
      <c r="B51" s="8" t="str">
        <f>IF(P19=0,"",P19)</f>
        <v/>
      </c>
      <c r="F51" s="896" t="s">
        <v>405</v>
      </c>
      <c r="G51" s="896">
        <f>Q19</f>
        <v>0</v>
      </c>
      <c r="O51" s="878"/>
      <c r="P51" s="265"/>
      <c r="Q51" s="879"/>
    </row>
    <row r="52" spans="2:17" x14ac:dyDescent="0.2">
      <c r="O52" s="878"/>
      <c r="P52" s="265"/>
      <c r="Q52" s="879"/>
    </row>
    <row r="53" spans="2:17" x14ac:dyDescent="0.2">
      <c r="O53" s="878"/>
      <c r="P53" s="265"/>
      <c r="Q53" s="879"/>
    </row>
    <row r="54" spans="2:17" x14ac:dyDescent="0.2">
      <c r="O54" s="878"/>
      <c r="P54" s="265"/>
      <c r="Q54" s="879"/>
    </row>
    <row r="55" spans="2:17" x14ac:dyDescent="0.2">
      <c r="O55" s="878"/>
      <c r="P55" s="265"/>
      <c r="Q55" s="879"/>
    </row>
    <row r="56" spans="2:17" x14ac:dyDescent="0.2">
      <c r="O56" s="878"/>
      <c r="P56" s="265"/>
      <c r="Q56" s="879"/>
    </row>
    <row r="57" spans="2:17" x14ac:dyDescent="0.2">
      <c r="O57" s="878"/>
      <c r="P57" s="265"/>
      <c r="Q57" s="879"/>
    </row>
    <row r="58" spans="2:17" x14ac:dyDescent="0.2">
      <c r="O58" s="878"/>
      <c r="P58" s="265"/>
      <c r="Q58" s="879"/>
    </row>
    <row r="59" spans="2:17" x14ac:dyDescent="0.2">
      <c r="O59" s="878"/>
      <c r="P59" s="265"/>
      <c r="Q59" s="879"/>
    </row>
    <row r="60" spans="2:17" x14ac:dyDescent="0.2">
      <c r="O60" s="781"/>
      <c r="P60" s="781"/>
      <c r="Q60" s="781"/>
    </row>
    <row r="70" spans="10:10" outlineLevel="1" x14ac:dyDescent="0.2">
      <c r="J70" s="209"/>
    </row>
    <row r="71" spans="10:10" outlineLevel="1" x14ac:dyDescent="0.2">
      <c r="J71" s="209"/>
    </row>
    <row r="72" spans="10:10" outlineLevel="1" x14ac:dyDescent="0.2">
      <c r="J72" s="209"/>
    </row>
    <row r="73" spans="10:10" outlineLevel="1" x14ac:dyDescent="0.2">
      <c r="J73" s="209"/>
    </row>
    <row r="74" spans="10:10" outlineLevel="1" x14ac:dyDescent="0.2">
      <c r="J74" s="209"/>
    </row>
    <row r="75" spans="10:10" outlineLevel="1" x14ac:dyDescent="0.2">
      <c r="J75" s="209"/>
    </row>
    <row r="76" spans="10:10" outlineLevel="1" x14ac:dyDescent="0.2">
      <c r="J76" s="209"/>
    </row>
    <row r="77" spans="10:10" outlineLevel="1" x14ac:dyDescent="0.2">
      <c r="J77" s="209"/>
    </row>
    <row r="78" spans="10:10" outlineLevel="1" x14ac:dyDescent="0.2">
      <c r="J78" s="209"/>
    </row>
    <row r="79" spans="10:10" outlineLevel="1" x14ac:dyDescent="0.2">
      <c r="J79" s="209"/>
    </row>
    <row r="80" spans="10:10" outlineLevel="1" x14ac:dyDescent="0.2">
      <c r="J80" s="209"/>
    </row>
    <row r="81" spans="10:10" outlineLevel="1" x14ac:dyDescent="0.2">
      <c r="J81" s="209"/>
    </row>
    <row r="82" spans="10:10" outlineLevel="1" x14ac:dyDescent="0.2">
      <c r="J82" s="209"/>
    </row>
    <row r="83" spans="10:10" outlineLevel="1" x14ac:dyDescent="0.2">
      <c r="J83" s="209"/>
    </row>
    <row r="84" spans="10:10" outlineLevel="1" x14ac:dyDescent="0.2">
      <c r="J84" s="209"/>
    </row>
    <row r="85" spans="10:10" outlineLevel="1" x14ac:dyDescent="0.2">
      <c r="J85" s="209"/>
    </row>
    <row r="86" spans="10:10" outlineLevel="1" x14ac:dyDescent="0.2">
      <c r="J86" s="209"/>
    </row>
    <row r="87" spans="10:10" outlineLevel="1" x14ac:dyDescent="0.2">
      <c r="J87" s="209"/>
    </row>
    <row r="88" spans="10:10" outlineLevel="1" x14ac:dyDescent="0.2">
      <c r="J88" s="209"/>
    </row>
    <row r="89" spans="10:10" outlineLevel="1" x14ac:dyDescent="0.2">
      <c r="J89" s="209"/>
    </row>
    <row r="90" spans="10:10" outlineLevel="1" x14ac:dyDescent="0.2">
      <c r="J90" s="209"/>
    </row>
    <row r="91" spans="10:10" outlineLevel="1" x14ac:dyDescent="0.2">
      <c r="J91" s="209"/>
    </row>
    <row r="92" spans="10:10" outlineLevel="1" x14ac:dyDescent="0.2">
      <c r="J92" s="209"/>
    </row>
    <row r="93" spans="10:10" outlineLevel="1" x14ac:dyDescent="0.2">
      <c r="J93" s="209"/>
    </row>
    <row r="94" spans="10:10" outlineLevel="1" x14ac:dyDescent="0.2">
      <c r="J94" s="209"/>
    </row>
    <row r="95" spans="10:10" outlineLevel="1" x14ac:dyDescent="0.2">
      <c r="J95" s="209"/>
    </row>
    <row r="96" spans="10:10" outlineLevel="1" x14ac:dyDescent="0.2">
      <c r="J96" s="209"/>
    </row>
    <row r="97" spans="10:10" outlineLevel="1" x14ac:dyDescent="0.2">
      <c r="J97" s="209"/>
    </row>
    <row r="98" spans="10:10" outlineLevel="1" x14ac:dyDescent="0.2">
      <c r="J98" s="209"/>
    </row>
    <row r="99" spans="10:10" outlineLevel="1" x14ac:dyDescent="0.2">
      <c r="J99" s="209"/>
    </row>
    <row r="100" spans="10:10" outlineLevel="1" x14ac:dyDescent="0.2">
      <c r="J100" s="209"/>
    </row>
    <row r="101" spans="10:10" outlineLevel="1" x14ac:dyDescent="0.2">
      <c r="J101" s="209"/>
    </row>
    <row r="102" spans="10:10" outlineLevel="1" x14ac:dyDescent="0.2">
      <c r="J102" s="209"/>
    </row>
    <row r="103" spans="10:10" outlineLevel="1" x14ac:dyDescent="0.2">
      <c r="J103" s="209"/>
    </row>
    <row r="104" spans="10:10" outlineLevel="1" x14ac:dyDescent="0.2">
      <c r="J104" s="209"/>
    </row>
    <row r="105" spans="10:10" outlineLevel="1" x14ac:dyDescent="0.2">
      <c r="J105" s="209"/>
    </row>
    <row r="106" spans="10:10" outlineLevel="1" x14ac:dyDescent="0.2">
      <c r="J106" s="209"/>
    </row>
    <row r="107" spans="10:10" outlineLevel="1" x14ac:dyDescent="0.2">
      <c r="J107" s="209"/>
    </row>
    <row r="108" spans="10:10" outlineLevel="1" x14ac:dyDescent="0.2">
      <c r="J108" s="209"/>
    </row>
    <row r="109" spans="10:10" outlineLevel="1" x14ac:dyDescent="0.2">
      <c r="J109" s="209"/>
    </row>
    <row r="110" spans="10:10" outlineLevel="1" x14ac:dyDescent="0.2">
      <c r="J110" s="209"/>
    </row>
    <row r="111" spans="10:10" outlineLevel="1" x14ac:dyDescent="0.2">
      <c r="J111" s="209"/>
    </row>
    <row r="112" spans="10:10" outlineLevel="1" x14ac:dyDescent="0.2">
      <c r="J112" s="209"/>
    </row>
    <row r="113" outlineLevel="1" x14ac:dyDescent="0.2"/>
    <row r="114" outlineLevel="1" x14ac:dyDescent="0.2"/>
    <row r="115" outlineLevel="1" x14ac:dyDescent="0.2"/>
    <row r="116" outlineLevel="1" x14ac:dyDescent="0.2"/>
    <row r="117" outlineLevel="1" x14ac:dyDescent="0.2"/>
    <row r="118" outlineLevel="1" x14ac:dyDescent="0.2"/>
    <row r="119" outlineLevel="1" x14ac:dyDescent="0.2"/>
    <row r="120" outlineLevel="1" x14ac:dyDescent="0.2"/>
    <row r="121" outlineLevel="1" x14ac:dyDescent="0.2"/>
    <row r="122" outlineLevel="1" x14ac:dyDescent="0.2"/>
    <row r="123" outlineLevel="1" x14ac:dyDescent="0.2"/>
  </sheetData>
  <sheetProtection algorithmName="SHA-512" hashValue="r2fWrL6aJczpfDr+0f9VWyMrKptiyyM+c7Cw/NFqvqtXwoRFthbkw5knRmkGDGf1d74VCbSb9ne8RrJigvEUgw==" saltValue="BTB1ihZIV3Z4hdUyb/PkzA==" spinCount="100000" sheet="1" selectLockedCells="1"/>
  <mergeCells count="1">
    <mergeCell ref="L6:N23"/>
  </mergeCells>
  <phoneticPr fontId="50" type="noConversion"/>
  <conditionalFormatting sqref="F9:G16">
    <cfRule type="expression" dxfId="304" priority="3" stopIfTrue="1">
      <formula>ISTEXT(#REF!)</formula>
    </cfRule>
  </conditionalFormatting>
  <conditionalFormatting sqref="F48:G51">
    <cfRule type="expression" dxfId="303" priority="5" stopIfTrue="1">
      <formula>ISTEXT(#REF!)</formula>
    </cfRule>
  </conditionalFormatting>
  <conditionalFormatting sqref="Q7:Q14 Q16:Q26">
    <cfRule type="expression" dxfId="302" priority="1" stopIfTrue="1">
      <formula>WEEKDAY(#REF!,2)=6</formula>
    </cfRule>
    <cfRule type="expression" dxfId="301" priority="2" stopIfTrue="1">
      <formula>WEEKDAY(#REF!,2)=7</formula>
    </cfRule>
  </conditionalFormatting>
  <dataValidations count="1">
    <dataValidation type="list" allowBlank="1" showErrorMessage="1" sqref="J2" xr:uid="{00000000-0002-0000-0B00-000000000000}">
      <formula1>BerichtListe</formula1>
    </dataValidation>
  </dataValidations>
  <printOptions horizontalCentered="1" verticalCentered="1"/>
  <pageMargins left="0.78740157480314965" right="0.78740157480314965" top="0.98425196850393704" bottom="0.98425196850393704" header="0.51181102362204722" footer="0.51181102362204722"/>
  <pageSetup paperSize="9" orientation="portrait"/>
  <headerFoot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pageSetUpPr autoPageBreaks="0" fitToPage="1"/>
  </sheetPr>
  <dimension ref="A1:AT106"/>
  <sheetViews>
    <sheetView showGridLines="0" showRowColHeaders="0" showZeros="0" showOutlineSymbols="0" topLeftCell="C2" zoomScale="80" zoomScaleNormal="80" zoomScalePageLayoutView="90" workbookViewId="0">
      <pane xSplit="2" ySplit="39" topLeftCell="E41" activePane="bottomRight" state="frozen"/>
      <selection pane="topRight"/>
      <selection pane="bottomLeft"/>
      <selection pane="bottomRight" activeCell="E41" sqref="E41"/>
    </sheetView>
  </sheetViews>
  <sheetFormatPr baseColWidth="10" defaultColWidth="11.42578125" defaultRowHeight="12.75" outlineLevelRow="2" outlineLevelCol="1" x14ac:dyDescent="0.2"/>
  <cols>
    <col min="1" max="1" width="11.42578125" style="8" hidden="1" customWidth="1" outlineLevel="1"/>
    <col min="2" max="2" width="8.42578125" style="13" hidden="1" customWidth="1" outlineLevel="1"/>
    <col min="3" max="3" width="22.42578125" style="87" customWidth="1" collapsed="1"/>
    <col min="4" max="4" width="7.85546875" style="13" customWidth="1"/>
    <col min="5" max="22" width="7.42578125" style="13" customWidth="1"/>
    <col min="23" max="24" width="8.42578125" style="13" bestFit="1" customWidth="1"/>
    <col min="25" max="33" width="7.42578125" style="13" customWidth="1"/>
    <col min="34" max="35" width="8.42578125" style="13" bestFit="1" customWidth="1"/>
    <col min="36" max="36" width="8.42578125" style="209" bestFit="1" customWidth="1"/>
    <col min="37" max="37" width="7.7109375" style="13" hidden="1" customWidth="1" outlineLevel="1"/>
    <col min="38" max="38" width="15.7109375" style="182" hidden="1" customWidth="1" outlineLevel="1"/>
    <col min="39" max="40" width="11.42578125" style="8" hidden="1" customWidth="1" outlineLevel="1"/>
    <col min="41" max="41" width="26.7109375" style="8" hidden="1" customWidth="1" outlineLevel="1"/>
    <col min="42" max="44" width="11.42578125" style="8" hidden="1" customWidth="1" outlineLevel="1"/>
    <col min="45" max="45" width="11.42578125" style="8" collapsed="1"/>
    <col min="46" max="16384" width="11.42578125" style="8"/>
  </cols>
  <sheetData>
    <row r="1" spans="2:46" ht="30" hidden="1" customHeight="1" outlineLevel="1" thickBot="1" x14ac:dyDescent="0.25">
      <c r="AF1" s="8"/>
      <c r="AJ1" s="88"/>
      <c r="AK1" s="89"/>
      <c r="AL1" s="90" t="s">
        <v>406</v>
      </c>
      <c r="AM1" s="91" t="s">
        <v>407</v>
      </c>
      <c r="AN1" s="89"/>
      <c r="AO1" s="89"/>
      <c r="AP1" s="89"/>
      <c r="AQ1" s="89"/>
      <c r="AR1" s="89"/>
    </row>
    <row r="2" spans="2:46" ht="30" customHeight="1" collapsed="1" thickBot="1" x14ac:dyDescent="0.25">
      <c r="C2" s="92">
        <f>DATEVALUE("1.1."&amp;YEAR(ctPersonalangaben!H12))</f>
        <v>44561</v>
      </c>
      <c r="D2" s="93">
        <f>YEAR(ctPersonalangaben!H12)</f>
        <v>2026</v>
      </c>
      <c r="E2" s="897" t="str">
        <f>CONCATENATE("Arbeitszeit-Eingabe von ",Mitarbeiter)</f>
        <v>Arbeitszeit-Eingabe von Max Muster, Musterstelle</v>
      </c>
      <c r="F2" s="6"/>
      <c r="G2" s="6"/>
      <c r="H2" s="6"/>
      <c r="I2" s="94"/>
      <c r="J2" s="6"/>
      <c r="K2" s="6"/>
      <c r="L2" s="6"/>
      <c r="M2" s="6"/>
      <c r="N2" s="6"/>
      <c r="O2" s="6"/>
      <c r="P2" s="6"/>
      <c r="Q2" s="6"/>
      <c r="R2" s="6"/>
      <c r="S2" s="95"/>
      <c r="T2" s="96"/>
      <c r="U2" s="96"/>
      <c r="V2" s="97"/>
      <c r="W2" s="97"/>
      <c r="X2" s="97"/>
      <c r="Y2" s="97"/>
      <c r="Z2" s="97"/>
      <c r="AA2" s="97"/>
      <c r="AB2" s="97"/>
      <c r="AC2" s="97"/>
      <c r="AD2" s="98"/>
      <c r="AE2" s="97"/>
      <c r="AF2" s="99"/>
      <c r="AG2" s="100" t="s">
        <v>408</v>
      </c>
      <c r="AH2" s="99">
        <f>VLOOKUP(DATE($D$2,MONTH($C$2),$E$4),Ferienanspruch,3,TRUE)</f>
        <v>100</v>
      </c>
      <c r="AI2" s="101" t="s">
        <v>106</v>
      </c>
      <c r="AJ2" s="88"/>
      <c r="AK2" s="102"/>
      <c r="AL2" s="91"/>
      <c r="AM2" s="91" t="s">
        <v>409</v>
      </c>
      <c r="AN2" s="89"/>
      <c r="AO2" s="89"/>
      <c r="AP2" s="89"/>
      <c r="AQ2" s="89"/>
      <c r="AR2" s="89"/>
    </row>
    <row r="3" spans="2:46" x14ac:dyDescent="0.2">
      <c r="C3" s="7"/>
      <c r="D3" s="1254" t="s">
        <v>254</v>
      </c>
      <c r="E3" s="226">
        <f t="shared" ref="E3:AF3" si="0">DATE($D$2,MONTH($C$2),E$4)</f>
        <v>44561</v>
      </c>
      <c r="F3" s="103">
        <f t="shared" si="0"/>
        <v>44562</v>
      </c>
      <c r="G3" s="103">
        <f t="shared" si="0"/>
        <v>44563</v>
      </c>
      <c r="H3" s="103">
        <f t="shared" si="0"/>
        <v>44564</v>
      </c>
      <c r="I3" s="226">
        <f t="shared" si="0"/>
        <v>44565</v>
      </c>
      <c r="J3" s="103">
        <f t="shared" si="0"/>
        <v>44566</v>
      </c>
      <c r="K3" s="103">
        <f t="shared" si="0"/>
        <v>44567</v>
      </c>
      <c r="L3" s="103">
        <f t="shared" si="0"/>
        <v>44568</v>
      </c>
      <c r="M3" s="103">
        <f t="shared" si="0"/>
        <v>44569</v>
      </c>
      <c r="N3" s="103">
        <f t="shared" si="0"/>
        <v>44570</v>
      </c>
      <c r="O3" s="103">
        <f t="shared" si="0"/>
        <v>44571</v>
      </c>
      <c r="P3" s="103">
        <f t="shared" si="0"/>
        <v>44572</v>
      </c>
      <c r="Q3" s="103">
        <f t="shared" si="0"/>
        <v>44573</v>
      </c>
      <c r="R3" s="103">
        <f t="shared" si="0"/>
        <v>44574</v>
      </c>
      <c r="S3" s="103">
        <f t="shared" si="0"/>
        <v>44575</v>
      </c>
      <c r="T3" s="103">
        <f t="shared" si="0"/>
        <v>44576</v>
      </c>
      <c r="U3" s="103">
        <f t="shared" si="0"/>
        <v>44577</v>
      </c>
      <c r="V3" s="103">
        <f t="shared" si="0"/>
        <v>44578</v>
      </c>
      <c r="W3" s="103">
        <f t="shared" si="0"/>
        <v>44579</v>
      </c>
      <c r="X3" s="103">
        <f t="shared" si="0"/>
        <v>44580</v>
      </c>
      <c r="Y3" s="103">
        <f t="shared" si="0"/>
        <v>44581</v>
      </c>
      <c r="Z3" s="103">
        <f t="shared" si="0"/>
        <v>44582</v>
      </c>
      <c r="AA3" s="103">
        <f t="shared" si="0"/>
        <v>44583</v>
      </c>
      <c r="AB3" s="103">
        <f t="shared" si="0"/>
        <v>44584</v>
      </c>
      <c r="AC3" s="103">
        <f t="shared" si="0"/>
        <v>44585</v>
      </c>
      <c r="AD3" s="104">
        <f t="shared" si="0"/>
        <v>44586</v>
      </c>
      <c r="AE3" s="104">
        <f t="shared" si="0"/>
        <v>44587</v>
      </c>
      <c r="AF3" s="104">
        <f t="shared" si="0"/>
        <v>44588</v>
      </c>
      <c r="AG3" s="104">
        <f>IF(MONTH($C2+AG$5) = MONTH($C2),DATE($D$2,MONTH($C$2),AG$5+1),"")</f>
        <v>44589</v>
      </c>
      <c r="AH3" s="104">
        <f>IF(MONTH($C2+AH$5) = MONTH($C2),DATE($D$2,MONTH($C$2),AH$5+1),"")</f>
        <v>44590</v>
      </c>
      <c r="AI3" s="105">
        <f>IF(MONTH($C2+AI$5) = MONTH($C2),DATE($D$2,MONTH($C$2),AI$5+1),"")</f>
        <v>44591</v>
      </c>
      <c r="AJ3" s="88"/>
      <c r="AK3" s="106"/>
      <c r="AL3" s="91"/>
      <c r="AM3" s="91"/>
      <c r="AN3" s="89"/>
      <c r="AO3" s="89"/>
      <c r="AP3" s="89"/>
      <c r="AQ3" s="89"/>
      <c r="AR3" s="89"/>
    </row>
    <row r="4" spans="2:46" ht="19.5" customHeight="1" x14ac:dyDescent="0.2">
      <c r="C4" s="13"/>
      <c r="D4" s="1255"/>
      <c r="E4" s="227">
        <v>1</v>
      </c>
      <c r="F4" s="107">
        <v>2</v>
      </c>
      <c r="G4" s="107">
        <v>3</v>
      </c>
      <c r="H4" s="107">
        <v>4</v>
      </c>
      <c r="I4" s="227">
        <v>5</v>
      </c>
      <c r="J4" s="107">
        <v>6</v>
      </c>
      <c r="K4" s="107">
        <v>7</v>
      </c>
      <c r="L4" s="107">
        <v>8</v>
      </c>
      <c r="M4" s="107">
        <v>9</v>
      </c>
      <c r="N4" s="107">
        <v>10</v>
      </c>
      <c r="O4" s="107">
        <v>11</v>
      </c>
      <c r="P4" s="107">
        <v>12</v>
      </c>
      <c r="Q4" s="107">
        <v>13</v>
      </c>
      <c r="R4" s="107">
        <v>14</v>
      </c>
      <c r="S4" s="107">
        <v>15</v>
      </c>
      <c r="T4" s="107">
        <v>16</v>
      </c>
      <c r="U4" s="107">
        <v>17</v>
      </c>
      <c r="V4" s="107">
        <v>18</v>
      </c>
      <c r="W4" s="107">
        <v>19</v>
      </c>
      <c r="X4" s="107">
        <v>20</v>
      </c>
      <c r="Y4" s="107">
        <v>21</v>
      </c>
      <c r="Z4" s="107">
        <v>22</v>
      </c>
      <c r="AA4" s="107">
        <v>23</v>
      </c>
      <c r="AB4" s="107">
        <v>24</v>
      </c>
      <c r="AC4" s="107">
        <v>25</v>
      </c>
      <c r="AD4" s="107">
        <v>26</v>
      </c>
      <c r="AE4" s="107">
        <v>27</v>
      </c>
      <c r="AF4" s="107">
        <v>28</v>
      </c>
      <c r="AG4" s="107">
        <f>IF(MONTH($C2+AG5) = MONTH($C2),AG$5+1,"")</f>
        <v>29</v>
      </c>
      <c r="AH4" s="107">
        <f>IF(MONTH($C2+AH5) = MONTH($C2),AH$5+1,"")</f>
        <v>30</v>
      </c>
      <c r="AI4" s="108">
        <f>IF(MONTH($C2+AI5) = MONTH($C2),AI$5+1,"")</f>
        <v>31</v>
      </c>
      <c r="AJ4" s="88"/>
      <c r="AK4" s="106"/>
      <c r="AL4" s="91"/>
      <c r="AM4" s="91"/>
      <c r="AN4" s="89"/>
      <c r="AO4" s="89"/>
      <c r="AP4" s="89"/>
      <c r="AQ4" s="89"/>
      <c r="AR4" s="89"/>
    </row>
    <row r="5" spans="2:46" ht="19.5" hidden="1" customHeight="1" outlineLevel="1" x14ac:dyDescent="0.2">
      <c r="C5" s="13"/>
      <c r="D5" s="109"/>
      <c r="E5" s="110"/>
      <c r="F5" s="110">
        <v>1</v>
      </c>
      <c r="G5" s="110">
        <v>2</v>
      </c>
      <c r="H5" s="228">
        <v>3</v>
      </c>
      <c r="I5" s="110">
        <v>4</v>
      </c>
      <c r="J5" s="110">
        <v>5</v>
      </c>
      <c r="K5" s="110">
        <v>6</v>
      </c>
      <c r="L5" s="110">
        <v>7</v>
      </c>
      <c r="M5" s="110">
        <v>8</v>
      </c>
      <c r="N5" s="110">
        <v>9</v>
      </c>
      <c r="O5" s="110">
        <v>10</v>
      </c>
      <c r="P5" s="110">
        <v>11</v>
      </c>
      <c r="Q5" s="110">
        <v>12</v>
      </c>
      <c r="R5" s="110">
        <v>13</v>
      </c>
      <c r="S5" s="110">
        <v>14</v>
      </c>
      <c r="T5" s="110">
        <v>15</v>
      </c>
      <c r="U5" s="110">
        <v>16</v>
      </c>
      <c r="V5" s="110">
        <v>17</v>
      </c>
      <c r="W5" s="110">
        <v>18</v>
      </c>
      <c r="X5" s="110">
        <v>19</v>
      </c>
      <c r="Y5" s="110">
        <v>20</v>
      </c>
      <c r="Z5" s="110">
        <v>21</v>
      </c>
      <c r="AA5" s="110">
        <v>22</v>
      </c>
      <c r="AB5" s="110">
        <v>23</v>
      </c>
      <c r="AC5" s="110">
        <v>24</v>
      </c>
      <c r="AD5" s="110">
        <v>25</v>
      </c>
      <c r="AE5" s="110">
        <v>26</v>
      </c>
      <c r="AF5" s="110">
        <v>27</v>
      </c>
      <c r="AG5" s="110">
        <v>28</v>
      </c>
      <c r="AH5" s="110">
        <v>29</v>
      </c>
      <c r="AI5" s="111">
        <v>30</v>
      </c>
      <c r="AJ5" s="88"/>
      <c r="AK5" s="102"/>
      <c r="AL5" s="91"/>
      <c r="AM5" s="91"/>
      <c r="AN5" s="89"/>
      <c r="AO5" s="89"/>
      <c r="AP5" s="89"/>
      <c r="AQ5" s="89"/>
      <c r="AR5" s="89"/>
    </row>
    <row r="6" spans="2:46" ht="19.5" hidden="1" customHeight="1" outlineLevel="1" x14ac:dyDescent="0.2">
      <c r="C6" s="13"/>
      <c r="D6" s="109"/>
      <c r="E6" s="288">
        <f>WEEKDAY(E$3,2)</f>
        <v>4</v>
      </c>
      <c r="F6" s="288">
        <f t="shared" ref="F6:AF6" si="1">WEEKDAY(F$3,2)</f>
        <v>5</v>
      </c>
      <c r="G6" s="288">
        <f t="shared" si="1"/>
        <v>6</v>
      </c>
      <c r="H6" s="898">
        <f t="shared" si="1"/>
        <v>7</v>
      </c>
      <c r="I6" s="288">
        <f t="shared" si="1"/>
        <v>1</v>
      </c>
      <c r="J6" s="288">
        <f t="shared" si="1"/>
        <v>2</v>
      </c>
      <c r="K6" s="288">
        <f t="shared" si="1"/>
        <v>3</v>
      </c>
      <c r="L6" s="288">
        <f t="shared" si="1"/>
        <v>4</v>
      </c>
      <c r="M6" s="288">
        <f t="shared" si="1"/>
        <v>5</v>
      </c>
      <c r="N6" s="288">
        <f t="shared" si="1"/>
        <v>6</v>
      </c>
      <c r="O6" s="288">
        <f t="shared" si="1"/>
        <v>7</v>
      </c>
      <c r="P6" s="288">
        <f t="shared" si="1"/>
        <v>1</v>
      </c>
      <c r="Q6" s="288">
        <f t="shared" si="1"/>
        <v>2</v>
      </c>
      <c r="R6" s="288">
        <f t="shared" si="1"/>
        <v>3</v>
      </c>
      <c r="S6" s="288">
        <f t="shared" si="1"/>
        <v>4</v>
      </c>
      <c r="T6" s="288">
        <f t="shared" si="1"/>
        <v>5</v>
      </c>
      <c r="U6" s="288">
        <f t="shared" si="1"/>
        <v>6</v>
      </c>
      <c r="V6" s="288">
        <f t="shared" si="1"/>
        <v>7</v>
      </c>
      <c r="W6" s="288">
        <f t="shared" si="1"/>
        <v>1</v>
      </c>
      <c r="X6" s="288">
        <f t="shared" si="1"/>
        <v>2</v>
      </c>
      <c r="Y6" s="288">
        <f t="shared" si="1"/>
        <v>3</v>
      </c>
      <c r="Z6" s="288">
        <f t="shared" si="1"/>
        <v>4</v>
      </c>
      <c r="AA6" s="288">
        <f t="shared" si="1"/>
        <v>5</v>
      </c>
      <c r="AB6" s="288">
        <f t="shared" si="1"/>
        <v>6</v>
      </c>
      <c r="AC6" s="288">
        <f t="shared" si="1"/>
        <v>7</v>
      </c>
      <c r="AD6" s="288">
        <f t="shared" si="1"/>
        <v>1</v>
      </c>
      <c r="AE6" s="288">
        <f t="shared" si="1"/>
        <v>2</v>
      </c>
      <c r="AF6" s="288">
        <f t="shared" si="1"/>
        <v>3</v>
      </c>
      <c r="AG6" s="288">
        <f>IF(AG3&lt;&gt;"",WEEKDAY(AG$3,2),"")</f>
        <v>4</v>
      </c>
      <c r="AH6" s="288">
        <f>IF(AH3&lt;&gt;"",WEEKDAY(AH$3,2),"")</f>
        <v>5</v>
      </c>
      <c r="AI6" s="899">
        <f>IF(AI3&lt;&gt;"",WEEKDAY(AI$3,2),"")</f>
        <v>6</v>
      </c>
      <c r="AJ6" s="88"/>
      <c r="AK6" s="102"/>
      <c r="AL6" s="91"/>
      <c r="AM6" s="91"/>
      <c r="AN6" s="89"/>
      <c r="AO6" s="89"/>
      <c r="AP6" s="89"/>
      <c r="AQ6" s="89"/>
      <c r="AR6" s="89"/>
    </row>
    <row r="7" spans="2:46" ht="22.5" customHeight="1" collapsed="1" x14ac:dyDescent="0.2">
      <c r="C7" s="8"/>
      <c r="D7" s="112" t="s">
        <v>410</v>
      </c>
      <c r="E7" s="1041"/>
      <c r="F7" s="1042"/>
      <c r="G7" s="1042"/>
      <c r="H7" s="1041"/>
      <c r="I7" s="1041"/>
      <c r="J7" s="1041"/>
      <c r="K7" s="1041"/>
      <c r="L7" s="1041"/>
      <c r="M7" s="1042"/>
      <c r="N7" s="1042"/>
      <c r="O7" s="1041"/>
      <c r="P7" s="1041"/>
      <c r="Q7" s="1041"/>
      <c r="R7" s="1041"/>
      <c r="S7" s="1041"/>
      <c r="T7" s="1042"/>
      <c r="U7" s="1042"/>
      <c r="V7" s="1041"/>
      <c r="W7" s="1041"/>
      <c r="X7" s="1041"/>
      <c r="Y7" s="1041"/>
      <c r="Z7" s="1041"/>
      <c r="AA7" s="1042"/>
      <c r="AB7" s="1042"/>
      <c r="AC7" s="1041"/>
      <c r="AD7" s="1041"/>
      <c r="AE7" s="1041"/>
      <c r="AF7" s="1041"/>
      <c r="AG7" s="1041"/>
      <c r="AH7" s="1042">
        <v>0</v>
      </c>
      <c r="AI7" s="1043">
        <v>0</v>
      </c>
      <c r="AJ7" s="88"/>
      <c r="AK7" s="900"/>
      <c r="AL7" s="91"/>
      <c r="AM7" s="91"/>
      <c r="AN7" s="113"/>
      <c r="AO7" s="89"/>
      <c r="AP7" s="89"/>
      <c r="AQ7" s="89"/>
      <c r="AR7" s="89"/>
    </row>
    <row r="8" spans="2:46" ht="22.5" customHeight="1" x14ac:dyDescent="0.2">
      <c r="C8" s="901"/>
      <c r="D8" s="112" t="s">
        <v>79</v>
      </c>
      <c r="E8" s="235"/>
      <c r="F8" s="223"/>
      <c r="G8" s="223"/>
      <c r="H8" s="235"/>
      <c r="I8" s="235"/>
      <c r="J8" s="235"/>
      <c r="K8" s="235"/>
      <c r="L8" s="235"/>
      <c r="M8" s="223"/>
      <c r="N8" s="223"/>
      <c r="O8" s="235"/>
      <c r="P8" s="235"/>
      <c r="Q8" s="235"/>
      <c r="R8" s="235"/>
      <c r="S8" s="235"/>
      <c r="T8" s="223"/>
      <c r="U8" s="223"/>
      <c r="V8" s="235"/>
      <c r="W8" s="235"/>
      <c r="X8" s="235"/>
      <c r="Y8" s="235"/>
      <c r="Z8" s="235"/>
      <c r="AA8" s="223"/>
      <c r="AB8" s="223"/>
      <c r="AC8" s="235"/>
      <c r="AD8" s="235"/>
      <c r="AE8" s="235"/>
      <c r="AF8" s="235"/>
      <c r="AG8" s="235"/>
      <c r="AH8" s="223"/>
      <c r="AI8" s="224"/>
      <c r="AJ8" s="88"/>
      <c r="AK8" s="900"/>
      <c r="AL8" s="91"/>
      <c r="AM8" s="91"/>
      <c r="AN8" s="89"/>
      <c r="AO8" s="89"/>
      <c r="AP8" s="89"/>
      <c r="AQ8" s="89"/>
      <c r="AR8" s="89"/>
    </row>
    <row r="9" spans="2:46" ht="22.5" customHeight="1" x14ac:dyDescent="0.2">
      <c r="C9" s="8"/>
      <c r="D9" s="112" t="s">
        <v>410</v>
      </c>
      <c r="E9" s="1041"/>
      <c r="F9" s="1042"/>
      <c r="G9" s="1042"/>
      <c r="H9" s="1041"/>
      <c r="I9" s="1041"/>
      <c r="J9" s="1041"/>
      <c r="K9" s="1041"/>
      <c r="L9" s="1041"/>
      <c r="M9" s="1042"/>
      <c r="N9" s="1042"/>
      <c r="O9" s="1041"/>
      <c r="P9" s="1041"/>
      <c r="Q9" s="1041"/>
      <c r="R9" s="1041"/>
      <c r="S9" s="1041"/>
      <c r="T9" s="1042"/>
      <c r="U9" s="1042"/>
      <c r="V9" s="1041"/>
      <c r="W9" s="1041"/>
      <c r="X9" s="1041"/>
      <c r="Y9" s="1041"/>
      <c r="Z9" s="1041"/>
      <c r="AA9" s="1042"/>
      <c r="AB9" s="1042"/>
      <c r="AC9" s="1041"/>
      <c r="AD9" s="1041"/>
      <c r="AE9" s="1041"/>
      <c r="AF9" s="1041"/>
      <c r="AG9" s="1041"/>
      <c r="AH9" s="1042"/>
      <c r="AI9" s="1043"/>
      <c r="AJ9" s="88"/>
      <c r="AK9" s="900"/>
      <c r="AL9" s="91"/>
      <c r="AM9" s="91"/>
      <c r="AN9" s="89"/>
      <c r="AO9" s="89"/>
      <c r="AP9" s="89"/>
      <c r="AQ9" s="89"/>
      <c r="AR9" s="89"/>
    </row>
    <row r="10" spans="2:46" ht="22.5" customHeight="1" x14ac:dyDescent="0.2">
      <c r="C10" s="901"/>
      <c r="D10" s="112" t="s">
        <v>79</v>
      </c>
      <c r="E10" s="235"/>
      <c r="F10" s="223"/>
      <c r="G10" s="223"/>
      <c r="H10" s="235"/>
      <c r="I10" s="235"/>
      <c r="J10" s="235"/>
      <c r="K10" s="235"/>
      <c r="L10" s="235"/>
      <c r="M10" s="223"/>
      <c r="N10" s="223"/>
      <c r="O10" s="235"/>
      <c r="P10" s="235"/>
      <c r="Q10" s="235"/>
      <c r="R10" s="235"/>
      <c r="S10" s="235"/>
      <c r="T10" s="223"/>
      <c r="U10" s="223"/>
      <c r="V10" s="235"/>
      <c r="W10" s="235"/>
      <c r="X10" s="235"/>
      <c r="Y10" s="235"/>
      <c r="Z10" s="235"/>
      <c r="AA10" s="223"/>
      <c r="AB10" s="223"/>
      <c r="AC10" s="235"/>
      <c r="AD10" s="235"/>
      <c r="AE10" s="235"/>
      <c r="AF10" s="235"/>
      <c r="AG10" s="235"/>
      <c r="AH10" s="223"/>
      <c r="AI10" s="224"/>
      <c r="AJ10" s="88"/>
      <c r="AK10" s="900"/>
      <c r="AL10" s="900"/>
      <c r="AM10" s="114"/>
      <c r="AN10" s="114"/>
      <c r="AO10" s="114"/>
      <c r="AP10" s="89"/>
      <c r="AQ10" s="89"/>
      <c r="AR10" s="89"/>
    </row>
    <row r="11" spans="2:46" ht="22.5" customHeight="1" x14ac:dyDescent="0.2">
      <c r="C11" s="8"/>
      <c r="D11" s="112" t="s">
        <v>410</v>
      </c>
      <c r="E11" s="1041"/>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3"/>
      <c r="AJ11" s="88"/>
      <c r="AK11" s="115"/>
      <c r="AL11" s="89"/>
      <c r="AM11" s="89"/>
      <c r="AN11" s="89"/>
      <c r="AO11" s="89"/>
      <c r="AP11" s="89"/>
      <c r="AQ11" s="89"/>
      <c r="AR11" s="89"/>
    </row>
    <row r="12" spans="2:46" ht="22.5" customHeight="1" x14ac:dyDescent="0.2">
      <c r="C12" s="116"/>
      <c r="D12" s="112" t="s">
        <v>79</v>
      </c>
      <c r="E12" s="235"/>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4"/>
      <c r="AJ12" s="88"/>
      <c r="AK12" s="902"/>
      <c r="AL12" s="91" t="s">
        <v>411</v>
      </c>
      <c r="AM12" s="91"/>
      <c r="AN12" s="113"/>
      <c r="AO12" s="89"/>
      <c r="AP12" s="89"/>
      <c r="AQ12" s="89"/>
      <c r="AR12" s="89"/>
    </row>
    <row r="13" spans="2:46" s="123" customFormat="1" x14ac:dyDescent="0.2">
      <c r="B13" s="117"/>
      <c r="C13" s="118" t="s">
        <v>412</v>
      </c>
      <c r="D13" s="119"/>
      <c r="E13" s="1044">
        <f>IF(COUNT(E7:E12)&gt;0,E12-E11+E10-E9+E8-E7,E39)</f>
        <v>0</v>
      </c>
      <c r="F13" s="1045">
        <f t="shared" ref="F13:AI13" si="2">IF(COUNT(F7:F12)&gt;0,F12-F11+F10-F9+F8-F7,F39)</f>
        <v>0</v>
      </c>
      <c r="G13" s="1045">
        <f t="shared" si="2"/>
        <v>0</v>
      </c>
      <c r="H13" s="1045">
        <f t="shared" si="2"/>
        <v>0</v>
      </c>
      <c r="I13" s="1045">
        <f t="shared" si="2"/>
        <v>0</v>
      </c>
      <c r="J13" s="1045">
        <f t="shared" si="2"/>
        <v>0</v>
      </c>
      <c r="K13" s="1045">
        <f t="shared" si="2"/>
        <v>0</v>
      </c>
      <c r="L13" s="1045">
        <f t="shared" si="2"/>
        <v>0</v>
      </c>
      <c r="M13" s="1045">
        <f t="shared" si="2"/>
        <v>0</v>
      </c>
      <c r="N13" s="1045">
        <f t="shared" si="2"/>
        <v>0</v>
      </c>
      <c r="O13" s="1045">
        <f t="shared" si="2"/>
        <v>0</v>
      </c>
      <c r="P13" s="1045">
        <f t="shared" si="2"/>
        <v>0</v>
      </c>
      <c r="Q13" s="1045">
        <f t="shared" si="2"/>
        <v>0</v>
      </c>
      <c r="R13" s="1045">
        <f t="shared" si="2"/>
        <v>0</v>
      </c>
      <c r="S13" s="1045">
        <f t="shared" si="2"/>
        <v>0</v>
      </c>
      <c r="T13" s="1045">
        <f t="shared" si="2"/>
        <v>0</v>
      </c>
      <c r="U13" s="1045">
        <f t="shared" si="2"/>
        <v>0</v>
      </c>
      <c r="V13" s="1045">
        <f t="shared" si="2"/>
        <v>0</v>
      </c>
      <c r="W13" s="1045">
        <f t="shared" si="2"/>
        <v>0</v>
      </c>
      <c r="X13" s="1045">
        <f t="shared" si="2"/>
        <v>0</v>
      </c>
      <c r="Y13" s="1045">
        <f t="shared" si="2"/>
        <v>0</v>
      </c>
      <c r="Z13" s="1045">
        <f t="shared" si="2"/>
        <v>0</v>
      </c>
      <c r="AA13" s="1045">
        <f t="shared" si="2"/>
        <v>0</v>
      </c>
      <c r="AB13" s="1045">
        <f t="shared" si="2"/>
        <v>0</v>
      </c>
      <c r="AC13" s="1045">
        <f t="shared" si="2"/>
        <v>0</v>
      </c>
      <c r="AD13" s="1045">
        <f t="shared" si="2"/>
        <v>0</v>
      </c>
      <c r="AE13" s="1045">
        <f t="shared" si="2"/>
        <v>0</v>
      </c>
      <c r="AF13" s="1045">
        <f t="shared" si="2"/>
        <v>0</v>
      </c>
      <c r="AG13" s="1045">
        <f t="shared" si="2"/>
        <v>0</v>
      </c>
      <c r="AH13" s="1045">
        <f t="shared" si="2"/>
        <v>0</v>
      </c>
      <c r="AI13" s="1046">
        <f t="shared" si="2"/>
        <v>0</v>
      </c>
      <c r="AJ13" s="1047">
        <f t="shared" ref="AJ13:AJ18" si="3">SUM(E13:AI13)</f>
        <v>0</v>
      </c>
      <c r="AK13" s="120"/>
      <c r="AL13" s="121" t="s">
        <v>413</v>
      </c>
      <c r="AM13" s="121"/>
      <c r="AN13" s="122"/>
      <c r="AS13" s="124"/>
    </row>
    <row r="14" spans="2:46" s="129" customFormat="1" x14ac:dyDescent="0.2">
      <c r="B14" s="117"/>
      <c r="C14" s="118" t="s">
        <v>414</v>
      </c>
      <c r="D14" s="125"/>
      <c r="E14" s="126">
        <f>ROUND(SUM(E13,E15,E21,E22,E24:E38),8)</f>
        <v>0.35</v>
      </c>
      <c r="F14" s="127">
        <f>ROUND(SUM(F13,F15,F21,F22,F24:F38),8)</f>
        <v>0</v>
      </c>
      <c r="G14" s="127">
        <f t="shared" ref="G14:AI14" si="4">ROUND(SUM(G13,G15,G21,G22,G24:G38),8)</f>
        <v>0</v>
      </c>
      <c r="H14" s="127">
        <f t="shared" si="4"/>
        <v>0</v>
      </c>
      <c r="I14" s="127">
        <f t="shared" si="4"/>
        <v>0</v>
      </c>
      <c r="J14" s="127">
        <f t="shared" si="4"/>
        <v>0</v>
      </c>
      <c r="K14" s="127">
        <f t="shared" si="4"/>
        <v>0</v>
      </c>
      <c r="L14" s="127">
        <f t="shared" si="4"/>
        <v>0</v>
      </c>
      <c r="M14" s="127">
        <f t="shared" si="4"/>
        <v>0</v>
      </c>
      <c r="N14" s="127">
        <f t="shared" si="4"/>
        <v>0</v>
      </c>
      <c r="O14" s="127">
        <f t="shared" si="4"/>
        <v>0</v>
      </c>
      <c r="P14" s="127">
        <f t="shared" si="4"/>
        <v>0</v>
      </c>
      <c r="Q14" s="127">
        <f t="shared" si="4"/>
        <v>0</v>
      </c>
      <c r="R14" s="127">
        <f t="shared" si="4"/>
        <v>0</v>
      </c>
      <c r="S14" s="127">
        <f t="shared" si="4"/>
        <v>0</v>
      </c>
      <c r="T14" s="127">
        <f t="shared" si="4"/>
        <v>0</v>
      </c>
      <c r="U14" s="127">
        <f t="shared" si="4"/>
        <v>0</v>
      </c>
      <c r="V14" s="127">
        <f t="shared" si="4"/>
        <v>0</v>
      </c>
      <c r="W14" s="127">
        <f t="shared" si="4"/>
        <v>0</v>
      </c>
      <c r="X14" s="127">
        <f t="shared" si="4"/>
        <v>0</v>
      </c>
      <c r="Y14" s="127">
        <f t="shared" si="4"/>
        <v>0</v>
      </c>
      <c r="Z14" s="127">
        <f t="shared" si="4"/>
        <v>0</v>
      </c>
      <c r="AA14" s="127">
        <f t="shared" si="4"/>
        <v>0</v>
      </c>
      <c r="AB14" s="127">
        <f t="shared" si="4"/>
        <v>0</v>
      </c>
      <c r="AC14" s="127">
        <f t="shared" si="4"/>
        <v>0</v>
      </c>
      <c r="AD14" s="127">
        <f t="shared" si="4"/>
        <v>0</v>
      </c>
      <c r="AE14" s="127">
        <f t="shared" si="4"/>
        <v>0</v>
      </c>
      <c r="AF14" s="127">
        <f t="shared" si="4"/>
        <v>0</v>
      </c>
      <c r="AG14" s="127">
        <f t="shared" si="4"/>
        <v>0</v>
      </c>
      <c r="AH14" s="127">
        <f t="shared" si="4"/>
        <v>0</v>
      </c>
      <c r="AI14" s="127">
        <f t="shared" si="4"/>
        <v>0</v>
      </c>
      <c r="AJ14" s="128">
        <f t="shared" si="3"/>
        <v>0.35</v>
      </c>
      <c r="AK14" s="1048">
        <f>AJ14-AJ16-IF(Eingabeblatt!D7="NEIN",AJ85,AJ85/1.25)</f>
        <v>-6.9999999999999973</v>
      </c>
      <c r="AL14" s="117" t="s">
        <v>415</v>
      </c>
      <c r="AM14" s="121"/>
      <c r="AN14" s="122"/>
      <c r="AT14" s="123"/>
    </row>
    <row r="15" spans="2:46" s="129" customFormat="1" x14ac:dyDescent="0.2">
      <c r="B15" s="117">
        <f>ctFeierFreitage!K28</f>
        <v>3.3166666666666669</v>
      </c>
      <c r="C15" s="118" t="s">
        <v>103</v>
      </c>
      <c r="D15" s="125"/>
      <c r="E15" s="126">
        <f t="shared" ref="E15:AI15" si="5">IF(ISERROR(VLOOKUP(DATE($D$2,MONTH($C$2),E$4),Feiertagsanspruch,9,FALSE)),0,VLOOKUP(DATE($D$2,MONTH($C$2),E$4),Feiertagsanspruch,9,FALSE))</f>
        <v>0.35000000000000003</v>
      </c>
      <c r="F15" s="127">
        <f t="shared" si="5"/>
        <v>0</v>
      </c>
      <c r="G15" s="127">
        <f t="shared" si="5"/>
        <v>0</v>
      </c>
      <c r="H15" s="127">
        <f t="shared" si="5"/>
        <v>0</v>
      </c>
      <c r="I15" s="127">
        <f t="shared" si="5"/>
        <v>0</v>
      </c>
      <c r="J15" s="127">
        <f t="shared" si="5"/>
        <v>0</v>
      </c>
      <c r="K15" s="127">
        <f t="shared" si="5"/>
        <v>0</v>
      </c>
      <c r="L15" s="127">
        <f t="shared" si="5"/>
        <v>0</v>
      </c>
      <c r="M15" s="127">
        <f t="shared" si="5"/>
        <v>0</v>
      </c>
      <c r="N15" s="127">
        <f t="shared" si="5"/>
        <v>0</v>
      </c>
      <c r="O15" s="127">
        <f t="shared" si="5"/>
        <v>0</v>
      </c>
      <c r="P15" s="127">
        <f t="shared" si="5"/>
        <v>0</v>
      </c>
      <c r="Q15" s="127">
        <f t="shared" si="5"/>
        <v>0</v>
      </c>
      <c r="R15" s="127">
        <f t="shared" si="5"/>
        <v>0</v>
      </c>
      <c r="S15" s="127">
        <f t="shared" si="5"/>
        <v>0</v>
      </c>
      <c r="T15" s="127">
        <f t="shared" si="5"/>
        <v>0</v>
      </c>
      <c r="U15" s="127">
        <f t="shared" si="5"/>
        <v>0</v>
      </c>
      <c r="V15" s="127">
        <f t="shared" si="5"/>
        <v>0</v>
      </c>
      <c r="W15" s="127">
        <f t="shared" si="5"/>
        <v>0</v>
      </c>
      <c r="X15" s="127">
        <f t="shared" si="5"/>
        <v>0</v>
      </c>
      <c r="Y15" s="127">
        <f t="shared" si="5"/>
        <v>0</v>
      </c>
      <c r="Z15" s="127">
        <f t="shared" si="5"/>
        <v>0</v>
      </c>
      <c r="AA15" s="127">
        <f t="shared" si="5"/>
        <v>0</v>
      </c>
      <c r="AB15" s="127">
        <f t="shared" si="5"/>
        <v>0</v>
      </c>
      <c r="AC15" s="127">
        <f t="shared" si="5"/>
        <v>0</v>
      </c>
      <c r="AD15" s="127">
        <f t="shared" si="5"/>
        <v>0</v>
      </c>
      <c r="AE15" s="127">
        <f t="shared" si="5"/>
        <v>0</v>
      </c>
      <c r="AF15" s="127">
        <f t="shared" si="5"/>
        <v>0</v>
      </c>
      <c r="AG15" s="127">
        <f t="shared" si="5"/>
        <v>0</v>
      </c>
      <c r="AH15" s="127">
        <f t="shared" si="5"/>
        <v>0</v>
      </c>
      <c r="AI15" s="127">
        <f t="shared" si="5"/>
        <v>0</v>
      </c>
      <c r="AJ15" s="128">
        <f t="shared" si="3"/>
        <v>0.35000000000000003</v>
      </c>
      <c r="AK15" s="1048"/>
      <c r="AL15" s="117"/>
      <c r="AM15" s="121"/>
      <c r="AN15" s="122"/>
      <c r="AT15" s="123"/>
    </row>
    <row r="16" spans="2:46" s="123" customFormat="1" hidden="1" outlineLevel="1" x14ac:dyDescent="0.2">
      <c r="B16" s="117"/>
      <c r="C16" s="118" t="s">
        <v>259</v>
      </c>
      <c r="D16" s="119"/>
      <c r="E16" s="126">
        <f>IF(ROUND(E17-E15,8)&lt;0,0,ROUND(E17-E15,8))</f>
        <v>0</v>
      </c>
      <c r="F16" s="127">
        <f>IF(ROUND(F17-F15,8)&lt;0,0,ROUND(F17-F15,8))</f>
        <v>0.35</v>
      </c>
      <c r="G16" s="127">
        <f t="shared" ref="G16:AI16" si="6">IF(ROUND(G17-G15,8)&lt;0,0,ROUND(G17-G15,8))</f>
        <v>0</v>
      </c>
      <c r="H16" s="127">
        <f t="shared" si="6"/>
        <v>0</v>
      </c>
      <c r="I16" s="127">
        <f t="shared" si="6"/>
        <v>0.35</v>
      </c>
      <c r="J16" s="127">
        <f t="shared" si="6"/>
        <v>0.35</v>
      </c>
      <c r="K16" s="127">
        <f t="shared" si="6"/>
        <v>0.35</v>
      </c>
      <c r="L16" s="127">
        <f t="shared" si="6"/>
        <v>0.35</v>
      </c>
      <c r="M16" s="127">
        <f t="shared" si="6"/>
        <v>0.35</v>
      </c>
      <c r="N16" s="127">
        <f t="shared" si="6"/>
        <v>0</v>
      </c>
      <c r="O16" s="127">
        <f t="shared" si="6"/>
        <v>0</v>
      </c>
      <c r="P16" s="127">
        <f t="shared" si="6"/>
        <v>0.35</v>
      </c>
      <c r="Q16" s="127">
        <f t="shared" si="6"/>
        <v>0.35</v>
      </c>
      <c r="R16" s="127">
        <f t="shared" si="6"/>
        <v>0.35</v>
      </c>
      <c r="S16" s="127">
        <f t="shared" si="6"/>
        <v>0.35</v>
      </c>
      <c r="T16" s="127">
        <f t="shared" si="6"/>
        <v>0.35</v>
      </c>
      <c r="U16" s="127">
        <f t="shared" si="6"/>
        <v>0</v>
      </c>
      <c r="V16" s="127">
        <f t="shared" si="6"/>
        <v>0</v>
      </c>
      <c r="W16" s="127">
        <f t="shared" si="6"/>
        <v>0.35</v>
      </c>
      <c r="X16" s="127">
        <f t="shared" si="6"/>
        <v>0.35</v>
      </c>
      <c r="Y16" s="127">
        <f t="shared" si="6"/>
        <v>0.35</v>
      </c>
      <c r="Z16" s="127">
        <f t="shared" si="6"/>
        <v>0.35</v>
      </c>
      <c r="AA16" s="127">
        <f t="shared" si="6"/>
        <v>0.35</v>
      </c>
      <c r="AB16" s="127">
        <f t="shared" si="6"/>
        <v>0</v>
      </c>
      <c r="AC16" s="127">
        <f t="shared" si="6"/>
        <v>0</v>
      </c>
      <c r="AD16" s="127">
        <f t="shared" si="6"/>
        <v>0.35</v>
      </c>
      <c r="AE16" s="127">
        <f t="shared" si="6"/>
        <v>0.35</v>
      </c>
      <c r="AF16" s="127">
        <f t="shared" si="6"/>
        <v>0.35</v>
      </c>
      <c r="AG16" s="127">
        <f t="shared" si="6"/>
        <v>0.35</v>
      </c>
      <c r="AH16" s="127">
        <f t="shared" si="6"/>
        <v>0.35</v>
      </c>
      <c r="AI16" s="127">
        <f t="shared" si="6"/>
        <v>0</v>
      </c>
      <c r="AJ16" s="128">
        <f t="shared" si="3"/>
        <v>7.349999999999997</v>
      </c>
      <c r="AK16" s="130"/>
      <c r="AL16" s="121" t="s">
        <v>416</v>
      </c>
      <c r="AM16" s="121"/>
      <c r="AN16" s="122"/>
      <c r="AT16" s="129"/>
    </row>
    <row r="17" spans="1:46" s="123" customFormat="1" collapsed="1" x14ac:dyDescent="0.2">
      <c r="B17" s="117"/>
      <c r="C17" s="118" t="s">
        <v>417</v>
      </c>
      <c r="D17" s="119"/>
      <c r="E17" s="126">
        <f>IF(ISERROR(IF(E4&lt;&gt;0,VLOOKUP(DATE($D$2,MONTH($C$2),E$4),Raz,WEEKDAY(DATE($D$2,MONTH($C$2),E$4))+2),0)),0,IF(E4&lt;&gt;0,VLOOKUP(DATE($D$2,MONTH($C$2),E$4),Raz,WEEKDAY(DATE($D$2,MONTH($C$2),E$4))+2),0))</f>
        <v>0.35</v>
      </c>
      <c r="F17" s="127">
        <f t="shared" ref="F17:AI17" si="7">IF(ISERROR(IF(F4&lt;&gt;0,VLOOKUP(DATE($D$2,MONTH($C$2),F$4),Raz,WEEKDAY(DATE($D$2,MONTH($C$2),F$4))+2),0)),0,IF(F4&lt;&gt;0,VLOOKUP(DATE($D$2,MONTH($C$2),F$4),Raz,WEEKDAY(DATE($D$2,MONTH($C$2),F$4))+2),0))</f>
        <v>0.35000000000000003</v>
      </c>
      <c r="G17" s="127">
        <f t="shared" si="7"/>
        <v>0</v>
      </c>
      <c r="H17" s="127">
        <f t="shared" si="7"/>
        <v>0</v>
      </c>
      <c r="I17" s="127">
        <f t="shared" si="7"/>
        <v>0.35000000000000003</v>
      </c>
      <c r="J17" s="127">
        <f t="shared" si="7"/>
        <v>0.35000000000000003</v>
      </c>
      <c r="K17" s="127">
        <f t="shared" si="7"/>
        <v>0.35000000000000003</v>
      </c>
      <c r="L17" s="127">
        <f t="shared" si="7"/>
        <v>0.35</v>
      </c>
      <c r="M17" s="127">
        <f t="shared" si="7"/>
        <v>0.35000000000000003</v>
      </c>
      <c r="N17" s="127">
        <f t="shared" si="7"/>
        <v>0</v>
      </c>
      <c r="O17" s="127">
        <f t="shared" si="7"/>
        <v>0</v>
      </c>
      <c r="P17" s="127">
        <f t="shared" si="7"/>
        <v>0.35000000000000003</v>
      </c>
      <c r="Q17" s="127">
        <f t="shared" si="7"/>
        <v>0.35000000000000003</v>
      </c>
      <c r="R17" s="127">
        <f t="shared" si="7"/>
        <v>0.35000000000000003</v>
      </c>
      <c r="S17" s="127">
        <f t="shared" si="7"/>
        <v>0.35</v>
      </c>
      <c r="T17" s="127">
        <f t="shared" si="7"/>
        <v>0.35000000000000003</v>
      </c>
      <c r="U17" s="127">
        <f t="shared" si="7"/>
        <v>0</v>
      </c>
      <c r="V17" s="127">
        <f t="shared" si="7"/>
        <v>0</v>
      </c>
      <c r="W17" s="127">
        <f t="shared" si="7"/>
        <v>0.35000000000000003</v>
      </c>
      <c r="X17" s="127">
        <f t="shared" si="7"/>
        <v>0.35000000000000003</v>
      </c>
      <c r="Y17" s="127">
        <f t="shared" si="7"/>
        <v>0.35000000000000003</v>
      </c>
      <c r="Z17" s="127">
        <f t="shared" si="7"/>
        <v>0.35</v>
      </c>
      <c r="AA17" s="127">
        <f t="shared" si="7"/>
        <v>0.35000000000000003</v>
      </c>
      <c r="AB17" s="127">
        <f t="shared" si="7"/>
        <v>0</v>
      </c>
      <c r="AC17" s="127">
        <f t="shared" si="7"/>
        <v>0</v>
      </c>
      <c r="AD17" s="127">
        <f t="shared" si="7"/>
        <v>0.35000000000000003</v>
      </c>
      <c r="AE17" s="127">
        <f t="shared" si="7"/>
        <v>0.35000000000000003</v>
      </c>
      <c r="AF17" s="127">
        <f t="shared" si="7"/>
        <v>0.35000000000000003</v>
      </c>
      <c r="AG17" s="127">
        <f t="shared" si="7"/>
        <v>0.35</v>
      </c>
      <c r="AH17" s="127">
        <f t="shared" si="7"/>
        <v>0.35000000000000003</v>
      </c>
      <c r="AI17" s="127">
        <f t="shared" si="7"/>
        <v>0</v>
      </c>
      <c r="AJ17" s="128">
        <f t="shared" si="3"/>
        <v>7.6999999999999966</v>
      </c>
      <c r="AK17" s="130"/>
      <c r="AL17" s="121"/>
      <c r="AM17" s="121"/>
      <c r="AN17" s="122"/>
      <c r="AT17" s="129"/>
    </row>
    <row r="18" spans="1:46" s="123" customFormat="1" x14ac:dyDescent="0.2">
      <c r="B18" s="117"/>
      <c r="C18" s="132" t="s">
        <v>262</v>
      </c>
      <c r="D18" s="133"/>
      <c r="E18" s="134">
        <f>ROUND(E14-E17,8)</f>
        <v>0</v>
      </c>
      <c r="F18" s="135">
        <f>ROUND(F14-F17,8)</f>
        <v>-0.35</v>
      </c>
      <c r="G18" s="135">
        <f t="shared" ref="G18:AI18" si="8">ROUND(G14-G17,8)</f>
        <v>0</v>
      </c>
      <c r="H18" s="135">
        <f t="shared" si="8"/>
        <v>0</v>
      </c>
      <c r="I18" s="135">
        <f t="shared" si="8"/>
        <v>-0.35</v>
      </c>
      <c r="J18" s="135">
        <f t="shared" si="8"/>
        <v>-0.35</v>
      </c>
      <c r="K18" s="135">
        <f t="shared" si="8"/>
        <v>-0.35</v>
      </c>
      <c r="L18" s="135">
        <f t="shared" si="8"/>
        <v>-0.35</v>
      </c>
      <c r="M18" s="135">
        <f t="shared" si="8"/>
        <v>-0.35</v>
      </c>
      <c r="N18" s="135">
        <f t="shared" si="8"/>
        <v>0</v>
      </c>
      <c r="O18" s="135">
        <f t="shared" si="8"/>
        <v>0</v>
      </c>
      <c r="P18" s="135">
        <f t="shared" si="8"/>
        <v>-0.35</v>
      </c>
      <c r="Q18" s="135">
        <f t="shared" si="8"/>
        <v>-0.35</v>
      </c>
      <c r="R18" s="135">
        <f t="shared" si="8"/>
        <v>-0.35</v>
      </c>
      <c r="S18" s="135">
        <f t="shared" si="8"/>
        <v>-0.35</v>
      </c>
      <c r="T18" s="135">
        <f t="shared" si="8"/>
        <v>-0.35</v>
      </c>
      <c r="U18" s="135">
        <f t="shared" si="8"/>
        <v>0</v>
      </c>
      <c r="V18" s="135">
        <f t="shared" si="8"/>
        <v>0</v>
      </c>
      <c r="W18" s="135">
        <f t="shared" si="8"/>
        <v>-0.35</v>
      </c>
      <c r="X18" s="135">
        <f t="shared" si="8"/>
        <v>-0.35</v>
      </c>
      <c r="Y18" s="135">
        <f t="shared" si="8"/>
        <v>-0.35</v>
      </c>
      <c r="Z18" s="135">
        <f t="shared" si="8"/>
        <v>-0.35</v>
      </c>
      <c r="AA18" s="135">
        <f t="shared" si="8"/>
        <v>-0.35</v>
      </c>
      <c r="AB18" s="135">
        <f t="shared" si="8"/>
        <v>0</v>
      </c>
      <c r="AC18" s="135">
        <f t="shared" si="8"/>
        <v>0</v>
      </c>
      <c r="AD18" s="135">
        <f t="shared" si="8"/>
        <v>-0.35</v>
      </c>
      <c r="AE18" s="135">
        <f t="shared" si="8"/>
        <v>-0.35</v>
      </c>
      <c r="AF18" s="135">
        <f t="shared" si="8"/>
        <v>-0.35</v>
      </c>
      <c r="AG18" s="135">
        <f t="shared" si="8"/>
        <v>-0.35</v>
      </c>
      <c r="AH18" s="135">
        <f t="shared" si="8"/>
        <v>-0.35</v>
      </c>
      <c r="AI18" s="135">
        <f t="shared" si="8"/>
        <v>0</v>
      </c>
      <c r="AJ18" s="136">
        <f t="shared" si="3"/>
        <v>-7.349999999999997</v>
      </c>
      <c r="AK18" s="137" t="s">
        <v>418</v>
      </c>
      <c r="AL18" s="121" t="s">
        <v>419</v>
      </c>
      <c r="AM18" s="121"/>
      <c r="AN18" s="122"/>
      <c r="AO18" s="122"/>
    </row>
    <row r="19" spans="1:46" s="138" customFormat="1" ht="24" x14ac:dyDescent="0.2">
      <c r="A19" s="781"/>
      <c r="B19" s="139" t="s">
        <v>420</v>
      </c>
      <c r="C19" s="1049" t="s">
        <v>421</v>
      </c>
      <c r="D19" s="903">
        <f>IF(Eingabeblatt!C175="OK",Eingabeblatt!A175+Eingabeblatt!I17,Eingabeblatt!A175)</f>
        <v>6.9444444444444447E-4</v>
      </c>
      <c r="E19" s="1050">
        <f ca="1">IF(E4&lt;&gt;"",IF(DATE($D$2,MONTH($C$2),E$4)&lt;=Eingabeblatt!$I$8,IF(OR(AND(E$86="JA",E14&gt;E16),AND(E86="JA",Eingabeblatt!$I$10="NEIN")),D19,D19+E18),IF(D19=0,0,IF(OR(COUNT(E7:E12,E22:E38)&gt;0,AND(COUNT(E7:E12,E22:E38)=0,E16=0)),IF(OR(AND(E$86="JA",E14&gt;E16),AND(E86="JA",Eingabeblatt!$I$10="NEIN")),D19,D19+E18),0))),D19)</f>
        <v>6.9444444444444447E-4</v>
      </c>
      <c r="F19" s="1051">
        <f ca="1">IF(F4&lt;&gt;"",IF(DATE($D$2,MONTH($C$2),F$4)&lt;=Eingabeblatt!$I$8,IF(OR(AND(F$86="JA",F14&gt;F16),AND(F86="JA",Eingabeblatt!$I$10="NEIN")),E19,E19+F18),IF(E19=0,0,IF(OR(COUNT(F7:F12,F22:F38)&gt;0,AND(COUNT(F7:F12,F22:F38)=0,F16=0)),IF(OR(AND(F$86="JA",F14&gt;F16),AND(F86="JA",Eingabeblatt!$I$10="NEIN")),E19,E19+F18),0))),E19)</f>
        <v>0</v>
      </c>
      <c r="G19" s="1051">
        <f ca="1">IF(G4&lt;&gt;"",IF(DATE($D$2,MONTH($C$2),G$4)&lt;=Eingabeblatt!$I$8,IF(OR(AND(G$86="JA",G14&gt;G16),AND(G86="JA",Eingabeblatt!$I$10="NEIN")),F19,F19+G18),IF(F19=0,0,IF(OR(COUNT(G7:G12,G22:G38)&gt;0,AND(COUNT(G7:G12,G22:G38)=0,G16=0)),IF(OR(AND(G$86="JA",G14&gt;G16),AND(G86="JA",Eingabeblatt!$I$10="NEIN")),F19,F19+G18),0))),F19)</f>
        <v>0</v>
      </c>
      <c r="H19" s="1051">
        <f ca="1">IF(H4&lt;&gt;"",IF(DATE($D$2,MONTH($C$2),H$4)&lt;=Eingabeblatt!$I$8,IF(OR(AND(H$86="JA",H14&gt;H16),AND(H86="JA",Eingabeblatt!$I$10="NEIN")),G19,G19+H18),IF(G19=0,0,IF(OR(COUNT(H7:H12,H22:H38)&gt;0,AND(COUNT(H7:H12,H22:H38)=0,H16=0)),IF(OR(AND(H$86="JA",H14&gt;H16),AND(H86="JA",Eingabeblatt!$I$10="NEIN")),G19,G19+H18),0))),G19)</f>
        <v>0</v>
      </c>
      <c r="I19" s="1051">
        <f ca="1">IF(I4&lt;&gt;"",IF(DATE($D$2,MONTH($C$2),I$4)&lt;=Eingabeblatt!$I$8,IF(OR(AND(I$86="JA",I14&gt;I16),AND(I86="JA",Eingabeblatt!$I$10="NEIN")),H19,H19+I18),IF(H19=0,0,IF(OR(COUNT(I7:I12,I22:I38)&gt;0,AND(COUNT(I7:I12,I22:I38)=0,I16=0)),IF(OR(AND(I$86="JA",I14&gt;I16),AND(I86="JA",Eingabeblatt!$I$10="NEIN")),H19,H19+I18),0))),H19)</f>
        <v>0</v>
      </c>
      <c r="J19" s="1051">
        <f ca="1">IF(J4&lt;&gt;"",IF(DATE($D$2,MONTH($C$2),J$4)&lt;=Eingabeblatt!$I$8,IF(OR(AND(J$86="JA",J14&gt;J16),AND(J86="JA",Eingabeblatt!$I$10="NEIN")),I19,I19+J18),IF(I19=0,0,IF(OR(COUNT(J7:J12,J22:J38)&gt;0,AND(COUNT(J7:J12,J22:J38)=0,J16=0)),IF(OR(AND(J$86="JA",J14&gt;J16),AND(J86="JA",Eingabeblatt!$I$10="NEIN")),I19,I19+J18),0))),I19)</f>
        <v>0</v>
      </c>
      <c r="K19" s="1051">
        <f ca="1">IF(K4&lt;&gt;"",IF(DATE($D$2,MONTH($C$2),K$4)&lt;=Eingabeblatt!$I$8,IF(OR(AND(K$86="JA",K14&gt;K16),AND(K86="JA",Eingabeblatt!$I$10="NEIN")),J19,J19+K18),IF(J19=0,0,IF(OR(COUNT(K7:K12,K22:K38)&gt;0,AND(COUNT(K7:K12,K22:K38)=0,K16=0)),IF(OR(AND(K$86="JA",K14&gt;K16),AND(K86="JA",Eingabeblatt!$I$10="NEIN")),J19,J19+K18),0))),J19)</f>
        <v>0</v>
      </c>
      <c r="L19" s="1051">
        <f ca="1">IF(L4&lt;&gt;"",IF(DATE($D$2,MONTH($C$2),L$4)&lt;=Eingabeblatt!$I$8,IF(OR(AND(L$86="JA",L14&gt;L16),AND(L86="JA",Eingabeblatt!$I$10="NEIN")),K19,K19+L18),IF(K19=0,0,IF(OR(COUNT(L7:L12,L22:L38)&gt;0,AND(COUNT(L7:L12,L22:L38)=0,L16=0)),IF(OR(AND(L$86="JA",L14&gt;L16),AND(L86="JA",Eingabeblatt!$I$10="NEIN")),K19,K19+L18),0))),K19)</f>
        <v>0</v>
      </c>
      <c r="M19" s="1051">
        <f ca="1">IF(M4&lt;&gt;"",IF(DATE($D$2,MONTH($C$2),M$4)&lt;=Eingabeblatt!$I$8,IF(OR(AND(M$86="JA",M14&gt;M16),AND(M86="JA",Eingabeblatt!$I$10="NEIN")),L19,L19+M18),IF(L19=0,0,IF(OR(COUNT(M7:M12,M22:M38)&gt;0,AND(COUNT(M7:M12,M22:M38)=0,M16=0)),IF(OR(AND(M$86="JA",M14&gt;M16),AND(M86="JA",Eingabeblatt!$I$10="NEIN")),L19,L19+M18),0))),L19)</f>
        <v>0</v>
      </c>
      <c r="N19" s="1051">
        <f ca="1">IF(N4&lt;&gt;"",IF(DATE($D$2,MONTH($C$2),N$4)&lt;=Eingabeblatt!$I$8,IF(OR(AND(N$86="JA",N14&gt;N16),AND(N86="JA",Eingabeblatt!$I$10="NEIN")),M19,M19+N18),IF(M19=0,0,IF(OR(COUNT(N7:N12,N22:N38)&gt;0,AND(COUNT(N7:N12,N22:N38)=0,N16=0)),IF(OR(AND(N$86="JA",N14&gt;N16),AND(N86="JA",Eingabeblatt!$I$10="NEIN")),M19,M19+N18),0))),M19)</f>
        <v>0</v>
      </c>
      <c r="O19" s="1051">
        <f ca="1">IF(O4&lt;&gt;"",IF(DATE($D$2,MONTH($C$2),O$4)&lt;=Eingabeblatt!$I$8,IF(OR(AND(O$86="JA",O14&gt;O16),AND(O86="JA",Eingabeblatt!$I$10="NEIN")),N19,N19+O18),IF(N19=0,0,IF(OR(COUNT(O7:O12,O22:O38)&gt;0,AND(COUNT(O7:O12,O22:O38)=0,O16=0)),IF(OR(AND(O$86="JA",O14&gt;O16),AND(O86="JA",Eingabeblatt!$I$10="NEIN")),N19,N19+O18),0))),N19)</f>
        <v>0</v>
      </c>
      <c r="P19" s="1051">
        <f ca="1">IF(P4&lt;&gt;"",IF(DATE($D$2,MONTH($C$2),P$4)&lt;=Eingabeblatt!$I$8,IF(OR(AND(P$86="JA",P14&gt;P16),AND(P86="JA",Eingabeblatt!$I$10="NEIN")),O19,O19+P18),IF(O19=0,0,IF(OR(COUNT(P7:P12,P22:P38)&gt;0,AND(COUNT(P7:P12,P22:P38)=0,P16=0)),IF(OR(AND(P$86="JA",P14&gt;P16),AND(P86="JA",Eingabeblatt!$I$10="NEIN")),O19,O19+P18),0))),O19)</f>
        <v>0</v>
      </c>
      <c r="Q19" s="1051">
        <f ca="1">IF(Q4&lt;&gt;"",IF(DATE($D$2,MONTH($C$2),Q$4)&lt;=Eingabeblatt!$I$8,IF(OR(AND(Q$86="JA",Q14&gt;Q16),AND(Q86="JA",Eingabeblatt!$I$10="NEIN")),P19,P19+Q18),IF(P19=0,0,IF(OR(COUNT(Q7:Q12,Q22:Q38)&gt;0,AND(COUNT(Q7:Q12,Q22:Q38)=0,Q16=0)),IF(OR(AND(Q$86="JA",Q14&gt;Q16),AND(Q86="JA",Eingabeblatt!$I$10="NEIN")),P19,P19+Q18),0))),P19)</f>
        <v>0</v>
      </c>
      <c r="R19" s="1051">
        <f ca="1">IF(R4&lt;&gt;"",IF(DATE($D$2,MONTH($C$2),R$4)&lt;=Eingabeblatt!$I$8,IF(OR(AND(R$86="JA",R14&gt;R16),AND(R86="JA",Eingabeblatt!$I$10="NEIN")),Q19,Q19+R18),IF(Q19=0,0,IF(OR(COUNT(R7:R12,R22:R38)&gt;0,AND(COUNT(R7:R12,R22:R38)=0,R16=0)),IF(OR(AND(R$86="JA",R14&gt;R16),AND(R86="JA",Eingabeblatt!$I$10="NEIN")),Q19,Q19+R18),0))),Q19)</f>
        <v>0</v>
      </c>
      <c r="S19" s="1051">
        <f ca="1">IF(S4&lt;&gt;"",IF(DATE($D$2,MONTH($C$2),S$4)&lt;=Eingabeblatt!$I$8,IF(OR(AND(S$86="JA",S14&gt;S16),AND(S86="JA",Eingabeblatt!$I$10="NEIN")),R19,R19+S18),IF(R19=0,0,IF(OR(COUNT(S7:S12,S22:S38)&gt;0,AND(COUNT(S7:S12,S22:S38)=0,S16=0)),IF(OR(AND(S$86="JA",S14&gt;S16),AND(S86="JA",Eingabeblatt!$I$10="NEIN")),R19,R19+S18),0))),R19)</f>
        <v>0</v>
      </c>
      <c r="T19" s="1051">
        <f ca="1">IF(T4&lt;&gt;"",IF(DATE($D$2,MONTH($C$2),T$4)&lt;=Eingabeblatt!$I$8,IF(OR(AND(T$86="JA",T14&gt;T16),AND(T86="JA",Eingabeblatt!$I$10="NEIN")),S19,S19+T18),IF(S19=0,0,IF(OR(COUNT(T7:T12,T22:T38)&gt;0,AND(COUNT(T7:T12,T22:T38)=0,T16=0)),IF(OR(AND(T$86="JA",T14&gt;T16),AND(T86="JA",Eingabeblatt!$I$10="NEIN")),S19,S19+T18),0))),S19)</f>
        <v>0</v>
      </c>
      <c r="U19" s="1051">
        <f ca="1">IF(U4&lt;&gt;"",IF(DATE($D$2,MONTH($C$2),U$4)&lt;=Eingabeblatt!$I$8,IF(OR(AND(U$86="JA",U14&gt;U16),AND(U86="JA",Eingabeblatt!$I$10="NEIN")),T19,T19+U18),IF(T19=0,0,IF(OR(COUNT(U7:U12,U22:U38)&gt;0,AND(COUNT(U7:U12,U22:U38)=0,U16=0)),IF(OR(AND(U$86="JA",U14&gt;U16),AND(U86="JA",Eingabeblatt!$I$10="NEIN")),T19,T19+U18),0))),T19)</f>
        <v>0</v>
      </c>
      <c r="V19" s="1051">
        <f ca="1">IF(V4&lt;&gt;"",IF(DATE($D$2,MONTH($C$2),V$4)&lt;=Eingabeblatt!$I$8,IF(OR(AND(V$86="JA",V14&gt;V16),AND(V86="JA",Eingabeblatt!$I$10="NEIN")),U19,U19+V18),IF(U19=0,0,IF(OR(COUNT(V7:V12,V22:V38)&gt;0,AND(COUNT(V7:V12,V22:V38)=0,V16=0)),IF(OR(AND(V$86="JA",V14&gt;V16),AND(V86="JA",Eingabeblatt!$I$10="NEIN")),U19,U19+V18),0))),U19)</f>
        <v>0</v>
      </c>
      <c r="W19" s="1051">
        <f ca="1">IF(W4&lt;&gt;"",IF(DATE($D$2,MONTH($C$2),W$4)&lt;=Eingabeblatt!$I$8,IF(OR(AND(W$86="JA",W14&gt;W16),AND(W86="JA",Eingabeblatt!$I$10="NEIN")),V19,V19+W18),IF(V19=0,0,IF(OR(COUNT(W7:W12,W22:W38)&gt;0,AND(COUNT(W7:W12,W22:W38)=0,W16=0)),IF(OR(AND(W$86="JA",W14&gt;W16),AND(W86="JA",Eingabeblatt!$I$10="NEIN")),V19,V19+W18),0))),V19)</f>
        <v>0</v>
      </c>
      <c r="X19" s="1051">
        <f ca="1">IF(X4&lt;&gt;"",IF(DATE($D$2,MONTH($C$2),X$4)&lt;=Eingabeblatt!$I$8,IF(OR(AND(X$86="JA",X14&gt;X16),AND(X86="JA",Eingabeblatt!$I$10="NEIN")),W19,W19+X18),IF(W19=0,0,IF(OR(COUNT(X7:X12,X22:X38)&gt;0,AND(COUNT(X7:X12,X22:X38)=0,X16=0)),IF(OR(AND(X$86="JA",X14&gt;X16),AND(X86="JA",Eingabeblatt!$I$10="NEIN")),W19,W19+X18),0))),W19)</f>
        <v>0</v>
      </c>
      <c r="Y19" s="1051">
        <f ca="1">IF(Y4&lt;&gt;"",IF(DATE($D$2,MONTH($C$2),Y$4)&lt;=Eingabeblatt!$I$8,IF(OR(AND(Y$86="JA",Y14&gt;Y16),AND(Y86="JA",Eingabeblatt!$I$10="NEIN")),X19,X19+Y18),IF(X19=0,0,IF(OR(COUNT(Y7:Y12,Y22:Y38)&gt;0,AND(COUNT(Y7:Y12,Y22:Y38)=0,Y16=0)),IF(OR(AND(Y$86="JA",Y14&gt;Y16),AND(Y86="JA",Eingabeblatt!$I$10="NEIN")),X19,X19+Y18),0))),X19)</f>
        <v>0</v>
      </c>
      <c r="Z19" s="1051">
        <f ca="1">IF(Z4&lt;&gt;"",IF(DATE($D$2,MONTH($C$2),Z$4)&lt;=Eingabeblatt!$I$8,IF(OR(AND(Z$86="JA",Z14&gt;Z16),AND(Z86="JA",Eingabeblatt!$I$10="NEIN")),Y19,Y19+Z18),IF(Y19=0,0,IF(OR(COUNT(Z7:Z12,Z22:Z38)&gt;0,AND(COUNT(Z7:Z12,Z22:Z38)=0,Z16=0)),IF(OR(AND(Z$86="JA",Z14&gt;Z16),AND(Z86="JA",Eingabeblatt!$I$10="NEIN")),Y19,Y19+Z18),0))),Y19)</f>
        <v>0</v>
      </c>
      <c r="AA19" s="1051">
        <f ca="1">IF(AA4&lt;&gt;"",IF(DATE($D$2,MONTH($C$2),AA$4)&lt;=Eingabeblatt!$I$8,IF(OR(AND(AA$86="JA",AA14&gt;AA16),AND(AA86="JA",Eingabeblatt!$I$10="NEIN")),Z19,Z19+AA18),IF(Z19=0,0,IF(OR(COUNT(AA7:AA12,AA22:AA38)&gt;0,AND(COUNT(AA7:AA12,AA22:AA38)=0,AA16=0)),IF(OR(AND(AA$86="JA",AA14&gt;AA16),AND(AA86="JA",Eingabeblatt!$I$10="NEIN")),Z19,Z19+AA18),0))),Z19)</f>
        <v>0</v>
      </c>
      <c r="AB19" s="1051">
        <f ca="1">IF(AB4&lt;&gt;"",IF(DATE($D$2,MONTH($C$2),AB$4)&lt;=Eingabeblatt!$I$8,IF(OR(AND(AB$86="JA",AB14&gt;AB16),AND(AB86="JA",Eingabeblatt!$I$10="NEIN")),AA19,AA19+AB18),IF(AA19=0,0,IF(OR(COUNT(AB7:AB12,AB22:AB38)&gt;0,AND(COUNT(AB7:AB12,AB22:AB38)=0,AB16=0)),IF(OR(AND(AB$86="JA",AB14&gt;AB16),AND(AB86="JA",Eingabeblatt!$I$10="NEIN")),AA19,AA19+AB18),0))),AA19)</f>
        <v>0</v>
      </c>
      <c r="AC19" s="1051">
        <f ca="1">IF(AC4&lt;&gt;"",IF(DATE($D$2,MONTH($C$2),AC$4)&lt;=Eingabeblatt!$I$8,IF(OR(AND(AC$86="JA",AC14&gt;AC16),AND(AC86="JA",Eingabeblatt!$I$10="NEIN")),AB19,AB19+AC18),IF(AB19=0,0,IF(OR(COUNT(AC7:AC12,AC22:AC38)&gt;0,AND(COUNT(AC7:AC12,AC22:AC38)=0,AC16=0)),IF(OR(AND(AC$86="JA",AC14&gt;AC16),AND(AC86="JA",Eingabeblatt!$I$10="NEIN")),AB19,AB19+AC18),0))),AB19)</f>
        <v>0</v>
      </c>
      <c r="AD19" s="1051">
        <f ca="1">IF(AD4&lt;&gt;"",IF(DATE($D$2,MONTH($C$2),AD$4)&lt;=Eingabeblatt!$I$8,IF(OR(AND(AD$86="JA",AD14&gt;AD16),AND(AD86="JA",Eingabeblatt!$I$10="NEIN")),AC19,AC19+AD18),IF(AC19=0,0,IF(OR(COUNT(AD7:AD12,AD22:AD38)&gt;0,AND(COUNT(AD7:AD12,AD22:AD38)=0,AD16=0)),IF(OR(AND(AD$86="JA",AD14&gt;AD16),AND(AD86="JA",Eingabeblatt!$I$10="NEIN")),AC19,AC19+AD18),0))),AC19)</f>
        <v>0</v>
      </c>
      <c r="AE19" s="1051">
        <f ca="1">IF(AE4&lt;&gt;"",IF(DATE($D$2,MONTH($C$2),AE$4)&lt;=Eingabeblatt!$I$8,IF(OR(AND(AE$86="JA",AE14&gt;AE16),AND(AE86="JA",Eingabeblatt!$I$10="NEIN")),AD19,AD19+AE18),IF(AD19=0,0,IF(OR(COUNT(AE7:AE12,AE22:AE38)&gt;0,AND(COUNT(AE7:AE12,AE22:AE38)=0,AE16=0)),IF(OR(AND(AE$86="JA",AE14&gt;AE16),AND(AE86="JA",Eingabeblatt!$I$10="NEIN")),AD19,AD19+AE18),0))),AD19)</f>
        <v>0</v>
      </c>
      <c r="AF19" s="1051">
        <f ca="1">IF(AF4&lt;&gt;"",IF(DATE($D$2,MONTH($C$2),AF$4)&lt;=Eingabeblatt!$I$8,IF(OR(AND(AF$86="JA",AF14&gt;AF16),AND(AF86="JA",Eingabeblatt!$I$10="NEIN")),AE19,AE19+AF18),IF(AE19=0,0,IF(OR(COUNT(AF7:AF12,AF22:AF38)&gt;0,AND(COUNT(AF7:AF12,AF22:AF38)=0,AF16=0)),IF(OR(AND(AF$86="JA",AF14&gt;AF16),AND(AF86="JA",Eingabeblatt!$I$10="NEIN")),AE19,AE19+AF18),0))),AE19)</f>
        <v>0</v>
      </c>
      <c r="AG19" s="1051">
        <f ca="1">IF(AG4&lt;&gt;"",IF(DATE($D$2,MONTH($C$2),AG$4)&lt;=Eingabeblatt!$I$8,IF(OR(AND(AG$86="JA",AG14&gt;AG16),AND(AG86="JA",Eingabeblatt!$I$10="NEIN")),AF19,AF19+AG18),IF(AF19=0,0,IF(OR(COUNT(AG7:AG12,AG22:AG38)&gt;0,AND(COUNT(AG7:AG12,AG22:AG38)=0,AG16=0)),IF(OR(AND(AG$86="JA",AG14&gt;AG16),AND(AG86="JA",Eingabeblatt!$I$10="NEIN")),AF19,AF19+AG18),0))),AF19)</f>
        <v>0</v>
      </c>
      <c r="AH19" s="1051">
        <f ca="1">IF(AH4&lt;&gt;"",IF(DATE($D$2,MONTH($C$2),AH$4)&lt;=Eingabeblatt!$I$8,IF(OR(AND(AH$86="JA",AH14&gt;AH16),AND(AH86="JA",Eingabeblatt!$I$10="NEIN")),AG19,AG19+AH18),IF(AG19=0,0,IF(OR(COUNT(AH7:AH12,AH22:AH38)&gt;0,AND(COUNT(AH7:AH12,AH22:AH38)=0,AH16=0)),IF(OR(AND(AH$86="JA",AH14&gt;AH16),AND(AH86="JA",Eingabeblatt!$I$10="NEIN")),AG19,AG19+AH18),0))),AG19)</f>
        <v>0</v>
      </c>
      <c r="AI19" s="1052">
        <f ca="1">IF(AI4&lt;&gt;"",IF(DATE($D$2,MONTH($C$2),AI$4)&lt;=Eingabeblatt!$I$8,IF(OR(AND(AI$86="JA",AI14&gt;AI16),AND(AI86="JA",Eingabeblatt!$I$10="NEIN")),AH19,AH19+AI18),IF(AH19=0,0,IF(OR(COUNT(AI7:AI12,AI22:AI38)&gt;0,AND(COUNT(AI7:AI12,AI22:AI38)=0,AI16=0)),IF(OR(AND(AI$86="JA",AI14&gt;AI16),AND(AI86="JA",Eingabeblatt!$I$10="NEIN")),AH19,AH19+AI18),0))),AH19)</f>
        <v>0</v>
      </c>
      <c r="AJ19" s="1053">
        <f ca="1">AI19</f>
        <v>0</v>
      </c>
      <c r="AK19" s="904">
        <f ca="1">AI19</f>
        <v>0</v>
      </c>
      <c r="AL19" s="905" t="s">
        <v>422</v>
      </c>
      <c r="AM19" s="905"/>
      <c r="AN19" s="906"/>
      <c r="AO19" s="781"/>
      <c r="AP19" s="781"/>
      <c r="AQ19" s="781"/>
      <c r="AR19" s="781"/>
      <c r="AS19" s="907"/>
      <c r="AT19" s="781"/>
    </row>
    <row r="20" spans="1:46" ht="22.5" hidden="1" customHeight="1" outlineLevel="1" x14ac:dyDescent="0.2">
      <c r="B20" s="143"/>
      <c r="C20" s="908" t="s">
        <v>267</v>
      </c>
      <c r="D20" s="162">
        <f>IF(Eingabeblatt!C178="OK",Eingabeblatt!A178,"  Fehler")</f>
        <v>0</v>
      </c>
      <c r="E20" s="909">
        <f t="shared" ref="E20:AI20" si="9">IF(VLOOKUP(DATE($D$2,MONTH($C$2),E$4),Ferienanspruch,3,TRUE)=100,D20-E21,IF(VLOOKUP(DATE($D$2,MONTH($C$2),E$4),Feiertagsanspruch,6,TRUE)*24&lt;Normtagesarbeitszeit*24,IF((E17-E15)&lt;0,D20-E21+(E15-E17),IF(E17&gt;0,D20-E21,D20-E21+E15)),IF((E17-E15)&lt;0,D20-E21+(E15-E17),IF(E17&gt;0,D20-E21,D20-E21+E15))))</f>
        <v>0</v>
      </c>
      <c r="F20" s="910">
        <f t="shared" si="9"/>
        <v>0</v>
      </c>
      <c r="G20" s="910">
        <f t="shared" si="9"/>
        <v>0</v>
      </c>
      <c r="H20" s="910">
        <f t="shared" si="9"/>
        <v>0</v>
      </c>
      <c r="I20" s="910">
        <f t="shared" si="9"/>
        <v>0</v>
      </c>
      <c r="J20" s="910">
        <f t="shared" si="9"/>
        <v>0</v>
      </c>
      <c r="K20" s="910">
        <f t="shared" si="9"/>
        <v>0</v>
      </c>
      <c r="L20" s="910">
        <f t="shared" si="9"/>
        <v>0</v>
      </c>
      <c r="M20" s="910">
        <f t="shared" si="9"/>
        <v>0</v>
      </c>
      <c r="N20" s="910">
        <f t="shared" si="9"/>
        <v>0</v>
      </c>
      <c r="O20" s="910">
        <f t="shared" si="9"/>
        <v>0</v>
      </c>
      <c r="P20" s="910">
        <f t="shared" si="9"/>
        <v>0</v>
      </c>
      <c r="Q20" s="910">
        <f t="shared" si="9"/>
        <v>0</v>
      </c>
      <c r="R20" s="910">
        <f t="shared" si="9"/>
        <v>0</v>
      </c>
      <c r="S20" s="910">
        <f t="shared" si="9"/>
        <v>0</v>
      </c>
      <c r="T20" s="910">
        <f t="shared" si="9"/>
        <v>0</v>
      </c>
      <c r="U20" s="910">
        <f t="shared" si="9"/>
        <v>0</v>
      </c>
      <c r="V20" s="910">
        <f t="shared" si="9"/>
        <v>0</v>
      </c>
      <c r="W20" s="910">
        <f t="shared" si="9"/>
        <v>0</v>
      </c>
      <c r="X20" s="910">
        <f t="shared" si="9"/>
        <v>0</v>
      </c>
      <c r="Y20" s="910">
        <f t="shared" si="9"/>
        <v>0</v>
      </c>
      <c r="Z20" s="910">
        <f t="shared" si="9"/>
        <v>0</v>
      </c>
      <c r="AA20" s="910">
        <f t="shared" si="9"/>
        <v>0</v>
      </c>
      <c r="AB20" s="910">
        <f t="shared" si="9"/>
        <v>0</v>
      </c>
      <c r="AC20" s="910">
        <f t="shared" si="9"/>
        <v>0</v>
      </c>
      <c r="AD20" s="910">
        <f t="shared" si="9"/>
        <v>0</v>
      </c>
      <c r="AE20" s="910">
        <f t="shared" si="9"/>
        <v>0</v>
      </c>
      <c r="AF20" s="910">
        <f t="shared" si="9"/>
        <v>0</v>
      </c>
      <c r="AG20" s="910">
        <f t="shared" si="9"/>
        <v>0</v>
      </c>
      <c r="AH20" s="910">
        <f t="shared" si="9"/>
        <v>0</v>
      </c>
      <c r="AI20" s="911">
        <f t="shared" si="9"/>
        <v>0</v>
      </c>
      <c r="AJ20" s="693">
        <f>AI20</f>
        <v>0</v>
      </c>
      <c r="AK20" s="912">
        <f>AJ20</f>
        <v>0</v>
      </c>
      <c r="AL20" s="141" t="s">
        <v>423</v>
      </c>
      <c r="AM20" s="91"/>
      <c r="AN20" s="113"/>
      <c r="AO20" s="113"/>
      <c r="AP20" s="113"/>
      <c r="AQ20" s="89"/>
      <c r="AR20" s="89"/>
    </row>
    <row r="21" spans="1:46" s="88" customFormat="1" hidden="1" outlineLevel="1" x14ac:dyDescent="0.2">
      <c r="A21" s="88" t="s">
        <v>424</v>
      </c>
      <c r="B21" s="143"/>
      <c r="C21" s="1054" t="s">
        <v>269</v>
      </c>
      <c r="D21" s="1055"/>
      <c r="E21" s="1056"/>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8"/>
      <c r="AJ21" s="1059">
        <f>SUM(D21:AI21)</f>
        <v>0</v>
      </c>
      <c r="AK21" s="1060">
        <f>AJ21</f>
        <v>0</v>
      </c>
      <c r="AL21" s="144" t="s">
        <v>359</v>
      </c>
      <c r="AM21" s="145"/>
      <c r="AN21" s="146"/>
      <c r="AO21" s="146"/>
      <c r="AP21" s="146"/>
      <c r="AQ21" s="147"/>
      <c r="AR21" s="147"/>
      <c r="AT21" s="8"/>
    </row>
    <row r="22" spans="1:46" s="88" customFormat="1" collapsed="1" x14ac:dyDescent="0.2">
      <c r="A22" s="148"/>
      <c r="B22" s="143"/>
      <c r="C22" s="149" t="s">
        <v>209</v>
      </c>
      <c r="D22" s="150">
        <f>ctPersonalangaben!F18</f>
        <v>8.0499999999999989</v>
      </c>
      <c r="E22" s="913"/>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322"/>
      <c r="AJ22" s="151">
        <f>SUM(E22:AI22)</f>
        <v>0</v>
      </c>
      <c r="AK22" s="152">
        <f>IF(D22="",0,ROUND(D22-AJ22,8))</f>
        <v>8.0500000000000007</v>
      </c>
      <c r="AL22" s="144" t="s">
        <v>425</v>
      </c>
      <c r="AM22" s="145" t="s">
        <v>426</v>
      </c>
      <c r="AN22" s="146"/>
      <c r="AO22" s="146"/>
      <c r="AP22" s="146"/>
      <c r="AQ22" s="147"/>
      <c r="AR22" s="147"/>
    </row>
    <row r="23" spans="1:46" s="88" customFormat="1" ht="22.5" hidden="1" customHeight="1" outlineLevel="1" x14ac:dyDescent="0.2">
      <c r="A23" s="148"/>
      <c r="B23" s="153"/>
      <c r="C23" s="154" t="s">
        <v>273</v>
      </c>
      <c r="D23" s="155">
        <f>Eingabeblatt!E29</f>
        <v>0</v>
      </c>
      <c r="E23" s="913"/>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322"/>
      <c r="AJ23" s="151">
        <f>SUM(E23:AI23)</f>
        <v>0</v>
      </c>
      <c r="AK23" s="152">
        <f>IF(D23="",0,ROUND(D23-AJ23,8))</f>
        <v>0</v>
      </c>
      <c r="AL23" s="144" t="s">
        <v>425</v>
      </c>
      <c r="AM23" s="145"/>
      <c r="AN23" s="146"/>
      <c r="AO23" s="692" t="s">
        <v>427</v>
      </c>
      <c r="AP23" s="146"/>
      <c r="AQ23" s="147"/>
      <c r="AR23" s="147"/>
    </row>
    <row r="24" spans="1:46" s="88" customFormat="1" ht="22.5" hidden="1" customHeight="1" outlineLevel="1" x14ac:dyDescent="0.2">
      <c r="A24" s="148" t="s">
        <v>424</v>
      </c>
      <c r="B24" s="156"/>
      <c r="C24" s="154" t="s">
        <v>275</v>
      </c>
      <c r="D24" s="150">
        <f>IF(Eingabeblatt!C176="OK",Eingabeblatt!A176,"  Fehler")</f>
        <v>0</v>
      </c>
      <c r="E24" s="913"/>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322"/>
      <c r="AJ24" s="151">
        <f>SUM(E24:AI24)</f>
        <v>0</v>
      </c>
      <c r="AK24" s="152">
        <f>ROUND(D24+AJ85-AJ24,8)</f>
        <v>0</v>
      </c>
      <c r="AL24" s="157" t="s">
        <v>428</v>
      </c>
      <c r="AM24" s="145" t="s">
        <v>429</v>
      </c>
      <c r="AN24" s="146"/>
      <c r="AO24" s="692" t="s">
        <v>427</v>
      </c>
      <c r="AP24" s="146"/>
      <c r="AQ24" s="147"/>
      <c r="AR24" s="147"/>
    </row>
    <row r="25" spans="1:46" s="88" customFormat="1" collapsed="1" x14ac:dyDescent="0.2">
      <c r="A25" s="148"/>
      <c r="B25" s="156"/>
      <c r="C25" s="154" t="s">
        <v>213</v>
      </c>
      <c r="D25" s="158"/>
      <c r="E25" s="913"/>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322"/>
      <c r="AJ25" s="151">
        <f>SUM(E25:AI25)</f>
        <v>0</v>
      </c>
      <c r="AK25" s="152">
        <f t="shared" ref="AK25:AK30" si="10">ROUND(B25+D25+AJ25,8)</f>
        <v>0</v>
      </c>
      <c r="AL25" s="144" t="s">
        <v>359</v>
      </c>
      <c r="AM25" s="145"/>
      <c r="AN25" s="146"/>
      <c r="AO25" s="146"/>
      <c r="AP25" s="147"/>
      <c r="AQ25" s="147"/>
      <c r="AR25" s="147"/>
    </row>
    <row r="26" spans="1:46" s="88" customFormat="1" x14ac:dyDescent="0.2">
      <c r="A26" s="148"/>
      <c r="B26" s="156"/>
      <c r="C26" s="154" t="s">
        <v>217</v>
      </c>
      <c r="D26" s="158"/>
      <c r="E26" s="913"/>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322"/>
      <c r="AJ26" s="151">
        <f>SUM(E26:AI26)</f>
        <v>0</v>
      </c>
      <c r="AK26" s="152">
        <f t="shared" si="10"/>
        <v>0</v>
      </c>
      <c r="AL26" s="144" t="s">
        <v>359</v>
      </c>
      <c r="AM26" s="145" t="s">
        <v>430</v>
      </c>
      <c r="AN26" s="146"/>
      <c r="AO26" s="146"/>
      <c r="AP26" s="146"/>
      <c r="AQ26" s="147"/>
      <c r="AR26" s="147"/>
    </row>
    <row r="27" spans="1:46" s="88" customFormat="1" x14ac:dyDescent="0.2">
      <c r="A27" s="148"/>
      <c r="B27" s="156"/>
      <c r="C27" s="154" t="s">
        <v>222</v>
      </c>
      <c r="D27" s="158"/>
      <c r="E27" s="913"/>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322"/>
      <c r="AJ27" s="151">
        <f t="shared" ref="AJ27:AJ35" si="11">SUM(E27:AI27)</f>
        <v>0</v>
      </c>
      <c r="AK27" s="152">
        <f t="shared" si="10"/>
        <v>0</v>
      </c>
      <c r="AL27" s="144" t="s">
        <v>359</v>
      </c>
      <c r="AM27" s="145"/>
      <c r="AN27" s="146"/>
      <c r="AO27" s="146"/>
      <c r="AP27" s="147"/>
      <c r="AQ27" s="147"/>
      <c r="AR27" s="147"/>
    </row>
    <row r="28" spans="1:46" s="88" customFormat="1" ht="22.5" hidden="1" customHeight="1" outlineLevel="2" x14ac:dyDescent="0.2">
      <c r="A28" s="148" t="s">
        <v>424</v>
      </c>
      <c r="B28" s="156"/>
      <c r="C28" s="154" t="s">
        <v>280</v>
      </c>
      <c r="D28" s="158"/>
      <c r="E28" s="913"/>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322"/>
      <c r="AJ28" s="151">
        <f t="shared" si="11"/>
        <v>0</v>
      </c>
      <c r="AK28" s="152">
        <f t="shared" si="10"/>
        <v>0</v>
      </c>
      <c r="AL28" s="157" t="s">
        <v>359</v>
      </c>
      <c r="AM28" s="145"/>
      <c r="AN28" s="146"/>
      <c r="AO28" s="692" t="s">
        <v>427</v>
      </c>
      <c r="AP28" s="146"/>
      <c r="AQ28" s="147"/>
      <c r="AR28" s="147"/>
    </row>
    <row r="29" spans="1:46" s="88" customFormat="1" collapsed="1" x14ac:dyDescent="0.2">
      <c r="A29" s="148"/>
      <c r="B29" s="156"/>
      <c r="C29" s="154" t="s">
        <v>227</v>
      </c>
      <c r="D29" s="158"/>
      <c r="E29" s="913"/>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322"/>
      <c r="AJ29" s="151">
        <f t="shared" si="11"/>
        <v>0</v>
      </c>
      <c r="AK29" s="152">
        <f t="shared" si="10"/>
        <v>0</v>
      </c>
      <c r="AL29" s="144" t="s">
        <v>359</v>
      </c>
      <c r="AM29" s="145"/>
      <c r="AN29" s="146"/>
      <c r="AO29" s="146"/>
      <c r="AP29" s="147"/>
      <c r="AQ29" s="147"/>
      <c r="AR29" s="147"/>
    </row>
    <row r="30" spans="1:46" s="88" customFormat="1" x14ac:dyDescent="0.2">
      <c r="A30" s="148"/>
      <c r="B30" s="156"/>
      <c r="C30" s="154" t="s">
        <v>231</v>
      </c>
      <c r="D30" s="158"/>
      <c r="E30" s="913"/>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322"/>
      <c r="AJ30" s="151">
        <f t="shared" si="11"/>
        <v>0</v>
      </c>
      <c r="AK30" s="152">
        <f t="shared" si="10"/>
        <v>0</v>
      </c>
      <c r="AL30" s="144" t="s">
        <v>359</v>
      </c>
      <c r="AM30" s="145"/>
      <c r="AN30" s="146"/>
      <c r="AO30" s="146"/>
      <c r="AP30" s="147"/>
      <c r="AQ30" s="147"/>
      <c r="AR30" s="147"/>
    </row>
    <row r="31" spans="1:46" s="88" customFormat="1" x14ac:dyDescent="0.2">
      <c r="A31" s="148"/>
      <c r="B31" s="159">
        <f>IF(Eingabeblatt!C183="OK",Eingabeblatt!A183,"  Fehler")</f>
        <v>0</v>
      </c>
      <c r="C31" s="154" t="s">
        <v>235</v>
      </c>
      <c r="D31" s="158">
        <f>IF(Eingabeblatt!C180="OK",Eingabeblatt!A180,"  Fehler")</f>
        <v>0</v>
      </c>
      <c r="E31" s="913"/>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322"/>
      <c r="AJ31" s="151">
        <f t="shared" si="11"/>
        <v>0</v>
      </c>
      <c r="AK31" s="160">
        <f>ROUND(B31+D31-AJ31,8)</f>
        <v>0</v>
      </c>
      <c r="AL31" s="144" t="s">
        <v>425</v>
      </c>
      <c r="AM31" s="145"/>
      <c r="AN31" s="146"/>
      <c r="AO31" s="146"/>
      <c r="AP31" s="147"/>
      <c r="AQ31" s="147"/>
      <c r="AR31" s="147"/>
    </row>
    <row r="32" spans="1:46" s="88" customFormat="1" x14ac:dyDescent="0.2">
      <c r="A32" s="148"/>
      <c r="B32" s="159">
        <f>IF(Eingabeblatt!C184="OK",Eingabeblatt!A184,"  Fehler")</f>
        <v>0</v>
      </c>
      <c r="C32" s="161" t="s">
        <v>239</v>
      </c>
      <c r="D32" s="162">
        <f>IF(Eingabeblatt!C181="OK",Eingabeblatt!A181,"  Fehler")</f>
        <v>0</v>
      </c>
      <c r="E32" s="914"/>
      <c r="F32" s="915"/>
      <c r="G32" s="915"/>
      <c r="H32" s="915"/>
      <c r="I32" s="915"/>
      <c r="J32" s="915"/>
      <c r="K32" s="915"/>
      <c r="L32" s="915"/>
      <c r="M32" s="915"/>
      <c r="N32" s="915"/>
      <c r="O32" s="915"/>
      <c r="P32" s="915"/>
      <c r="Q32" s="915"/>
      <c r="R32" s="915"/>
      <c r="S32" s="915"/>
      <c r="T32" s="915"/>
      <c r="U32" s="915"/>
      <c r="V32" s="915"/>
      <c r="W32" s="915"/>
      <c r="X32" s="915"/>
      <c r="Y32" s="915"/>
      <c r="Z32" s="915"/>
      <c r="AA32" s="915"/>
      <c r="AB32" s="915"/>
      <c r="AC32" s="915"/>
      <c r="AD32" s="915"/>
      <c r="AE32" s="915"/>
      <c r="AF32" s="915"/>
      <c r="AG32" s="915"/>
      <c r="AH32" s="915"/>
      <c r="AI32" s="916"/>
      <c r="AJ32" s="163">
        <f t="shared" si="11"/>
        <v>0</v>
      </c>
      <c r="AK32" s="164">
        <f>ROUND(B32+D32-AJ32,8)</f>
        <v>0</v>
      </c>
      <c r="AL32" s="157" t="s">
        <v>425</v>
      </c>
      <c r="AM32" s="145"/>
      <c r="AN32" s="146"/>
      <c r="AO32" s="146"/>
      <c r="AP32" s="146"/>
      <c r="AQ32" s="147"/>
      <c r="AR32" s="147"/>
    </row>
    <row r="33" spans="1:46" ht="22.5" hidden="1" customHeight="1" outlineLevel="1" x14ac:dyDescent="0.2">
      <c r="A33" s="165" t="s">
        <v>424</v>
      </c>
      <c r="B33" s="156">
        <f>IF(Eingabeblatt!C185="OK",Eingabeblatt!A185,"  Fehler")</f>
        <v>0</v>
      </c>
      <c r="C33" s="166" t="s">
        <v>431</v>
      </c>
      <c r="D33" s="162"/>
      <c r="E33" s="167"/>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9"/>
      <c r="AJ33" s="140">
        <f t="shared" si="11"/>
        <v>0</v>
      </c>
      <c r="AK33" s="917">
        <f>ROUND(B33+D33-AJ33,8)</f>
        <v>0</v>
      </c>
      <c r="AL33" s="157" t="s">
        <v>425</v>
      </c>
      <c r="AM33" s="91"/>
      <c r="AN33" s="113"/>
      <c r="AO33" s="692" t="s">
        <v>427</v>
      </c>
      <c r="AP33" s="113"/>
      <c r="AQ33" s="89"/>
      <c r="AR33" s="89"/>
      <c r="AT33" s="88"/>
    </row>
    <row r="34" spans="1:46" ht="22.5" hidden="1" customHeight="1" outlineLevel="1" x14ac:dyDescent="0.2">
      <c r="A34" s="165"/>
      <c r="B34" s="156">
        <f>IF(Eingabeblatt!C182="OK",Eingabeblatt!A182,"  Fehler")</f>
        <v>0</v>
      </c>
      <c r="C34" s="170" t="s">
        <v>288</v>
      </c>
      <c r="D34" s="162">
        <f>IF(Eingabeblatt!C179="OK",Eingabeblatt!A179,"  Fehler")</f>
        <v>0</v>
      </c>
      <c r="E34" s="171"/>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3"/>
      <c r="AJ34" s="174">
        <f>SUM(E34:AI34)</f>
        <v>0</v>
      </c>
      <c r="AK34" s="152">
        <f>ROUND(B34+D34-AJ34,8)</f>
        <v>0</v>
      </c>
      <c r="AL34" s="157" t="s">
        <v>425</v>
      </c>
      <c r="AM34" s="91"/>
      <c r="AN34" s="113"/>
      <c r="AO34" s="692" t="s">
        <v>427</v>
      </c>
      <c r="AP34" s="113"/>
      <c r="AQ34" s="89"/>
      <c r="AR34" s="89"/>
    </row>
    <row r="35" spans="1:46" ht="22.5" hidden="1" customHeight="1" outlineLevel="1" x14ac:dyDescent="0.2">
      <c r="A35" s="165" t="s">
        <v>424</v>
      </c>
      <c r="B35" s="156"/>
      <c r="C35" s="170" t="s">
        <v>164</v>
      </c>
      <c r="D35" s="162"/>
      <c r="E35" s="171"/>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c r="AJ35" s="174">
        <f t="shared" si="11"/>
        <v>0</v>
      </c>
      <c r="AK35" s="152">
        <f>ROUND(B35+D35+AJ35,8)</f>
        <v>0</v>
      </c>
      <c r="AL35" s="157" t="s">
        <v>359</v>
      </c>
      <c r="AM35" s="91"/>
      <c r="AN35" s="113"/>
      <c r="AO35" s="692" t="s">
        <v>427</v>
      </c>
      <c r="AP35" s="113"/>
      <c r="AQ35" s="89"/>
      <c r="AR35" s="89"/>
    </row>
    <row r="36" spans="1:46" ht="22.5" hidden="1" customHeight="1" outlineLevel="1" x14ac:dyDescent="0.2">
      <c r="A36" s="165" t="s">
        <v>424</v>
      </c>
      <c r="B36" s="156"/>
      <c r="C36" s="170" t="s">
        <v>291</v>
      </c>
      <c r="D36" s="162"/>
      <c r="E36" s="171"/>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c r="AJ36" s="174">
        <f>SUM(E36:AI36)</f>
        <v>0</v>
      </c>
      <c r="AK36" s="152">
        <f>ROUND(B36+D36+AJ36,8)</f>
        <v>0</v>
      </c>
      <c r="AL36" s="157" t="s">
        <v>359</v>
      </c>
      <c r="AM36" s="91"/>
      <c r="AN36" s="113"/>
      <c r="AO36" s="692" t="s">
        <v>427</v>
      </c>
      <c r="AP36" s="113"/>
      <c r="AQ36" s="89"/>
      <c r="AR36" s="89"/>
    </row>
    <row r="37" spans="1:46" ht="22.5" hidden="1" customHeight="1" outlineLevel="1" x14ac:dyDescent="0.2">
      <c r="A37" s="165" t="s">
        <v>424</v>
      </c>
      <c r="B37" s="156"/>
      <c r="C37" s="170" t="s">
        <v>293</v>
      </c>
      <c r="D37" s="162"/>
      <c r="E37" s="171"/>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3"/>
      <c r="AJ37" s="174">
        <f>SUM(E37:AI37)</f>
        <v>0</v>
      </c>
      <c r="AK37" s="152">
        <f>ROUND(B37+D37+AJ37,8)</f>
        <v>0</v>
      </c>
      <c r="AL37" s="157" t="s">
        <v>359</v>
      </c>
      <c r="AM37" s="91"/>
      <c r="AN37" s="113"/>
      <c r="AO37" s="692" t="s">
        <v>427</v>
      </c>
      <c r="AP37" s="113"/>
      <c r="AQ37" s="89"/>
      <c r="AR37" s="89"/>
    </row>
    <row r="38" spans="1:46" ht="22.5" hidden="1" customHeight="1" outlineLevel="1" x14ac:dyDescent="0.2">
      <c r="A38" s="165" t="s">
        <v>424</v>
      </c>
      <c r="B38" s="156"/>
      <c r="C38" s="175" t="s">
        <v>295</v>
      </c>
      <c r="D38" s="162"/>
      <c r="E38" s="176"/>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8"/>
      <c r="AJ38" s="142">
        <f>SUM(E38:AI38)</f>
        <v>0</v>
      </c>
      <c r="AK38" s="912">
        <f>ROUND(B38+D38+AJ38,8)</f>
        <v>0</v>
      </c>
      <c r="AL38" s="157" t="s">
        <v>359</v>
      </c>
      <c r="AM38" s="91"/>
      <c r="AN38" s="113"/>
      <c r="AO38" s="692" t="s">
        <v>427</v>
      </c>
      <c r="AP38" s="113"/>
      <c r="AQ38" s="89"/>
      <c r="AR38" s="89"/>
    </row>
    <row r="39" spans="1:46" s="34" customFormat="1" hidden="1" outlineLevel="1" x14ac:dyDescent="0.2">
      <c r="A39" s="179"/>
      <c r="B39" s="180"/>
      <c r="C39" s="918" t="s">
        <v>297</v>
      </c>
      <c r="D39" s="1061"/>
      <c r="E39" s="1062">
        <f>ROUND(SUM(E41:E84),8)</f>
        <v>0</v>
      </c>
      <c r="F39" s="1063">
        <f>ROUND(SUM(F41:F84),8)</f>
        <v>0</v>
      </c>
      <c r="G39" s="1063">
        <f>ROUND(SUM(G41:G84),8)</f>
        <v>0</v>
      </c>
      <c r="H39" s="1063">
        <f t="shared" ref="H39:AI39" si="12">ROUND(SUM(H41:H84),8)</f>
        <v>0</v>
      </c>
      <c r="I39" s="1063">
        <f t="shared" si="12"/>
        <v>0</v>
      </c>
      <c r="J39" s="1063">
        <f t="shared" si="12"/>
        <v>0</v>
      </c>
      <c r="K39" s="1063">
        <f t="shared" si="12"/>
        <v>0</v>
      </c>
      <c r="L39" s="1063">
        <f t="shared" si="12"/>
        <v>0</v>
      </c>
      <c r="M39" s="1063">
        <f t="shared" si="12"/>
        <v>0</v>
      </c>
      <c r="N39" s="1063">
        <f t="shared" si="12"/>
        <v>0</v>
      </c>
      <c r="O39" s="1063">
        <f t="shared" si="12"/>
        <v>0</v>
      </c>
      <c r="P39" s="1063">
        <f t="shared" si="12"/>
        <v>0</v>
      </c>
      <c r="Q39" s="1063">
        <f t="shared" si="12"/>
        <v>0</v>
      </c>
      <c r="R39" s="1063">
        <f t="shared" si="12"/>
        <v>0</v>
      </c>
      <c r="S39" s="1063">
        <f t="shared" si="12"/>
        <v>0</v>
      </c>
      <c r="T39" s="1063">
        <f t="shared" si="12"/>
        <v>0</v>
      </c>
      <c r="U39" s="1063">
        <f t="shared" si="12"/>
        <v>0</v>
      </c>
      <c r="V39" s="1063">
        <f t="shared" si="12"/>
        <v>0</v>
      </c>
      <c r="W39" s="1063">
        <f t="shared" si="12"/>
        <v>0</v>
      </c>
      <c r="X39" s="1063">
        <f t="shared" si="12"/>
        <v>0</v>
      </c>
      <c r="Y39" s="1063">
        <f t="shared" si="12"/>
        <v>0</v>
      </c>
      <c r="Z39" s="1063">
        <f t="shared" si="12"/>
        <v>0</v>
      </c>
      <c r="AA39" s="1063">
        <f t="shared" si="12"/>
        <v>0</v>
      </c>
      <c r="AB39" s="1063">
        <f t="shared" si="12"/>
        <v>0</v>
      </c>
      <c r="AC39" s="1063">
        <f t="shared" si="12"/>
        <v>0</v>
      </c>
      <c r="AD39" s="1063">
        <f t="shared" si="12"/>
        <v>0</v>
      </c>
      <c r="AE39" s="1063">
        <f t="shared" si="12"/>
        <v>0</v>
      </c>
      <c r="AF39" s="1063">
        <f t="shared" si="12"/>
        <v>0</v>
      </c>
      <c r="AG39" s="1063">
        <f t="shared" si="12"/>
        <v>0</v>
      </c>
      <c r="AH39" s="1063">
        <f t="shared" si="12"/>
        <v>0</v>
      </c>
      <c r="AI39" s="1064">
        <f t="shared" si="12"/>
        <v>0</v>
      </c>
      <c r="AJ39" s="969"/>
      <c r="AK39" s="1065"/>
      <c r="AL39" s="13"/>
      <c r="AM39" s="181"/>
      <c r="AN39" s="182"/>
      <c r="AO39" s="692" t="s">
        <v>427</v>
      </c>
      <c r="AT39" s="8"/>
    </row>
    <row r="40" spans="1:46" s="34" customFormat="1" ht="42" customHeight="1" collapsed="1" x14ac:dyDescent="0.2">
      <c r="A40" s="179"/>
      <c r="B40" s="180"/>
      <c r="C40" s="919" t="s">
        <v>432</v>
      </c>
      <c r="D40" s="920"/>
      <c r="E40" s="921">
        <f t="shared" ref="E40:AI40" si="13">ROUND(IF(E13=E39,0,IF(E13&lt;&gt;0,E13-E39,0)),8)</f>
        <v>0</v>
      </c>
      <c r="F40" s="922">
        <f t="shared" si="13"/>
        <v>0</v>
      </c>
      <c r="G40" s="922">
        <f t="shared" si="13"/>
        <v>0</v>
      </c>
      <c r="H40" s="922">
        <f t="shared" si="13"/>
        <v>0</v>
      </c>
      <c r="I40" s="922">
        <f t="shared" si="13"/>
        <v>0</v>
      </c>
      <c r="J40" s="922">
        <f t="shared" si="13"/>
        <v>0</v>
      </c>
      <c r="K40" s="922">
        <f t="shared" si="13"/>
        <v>0</v>
      </c>
      <c r="L40" s="922">
        <f t="shared" si="13"/>
        <v>0</v>
      </c>
      <c r="M40" s="922">
        <f t="shared" si="13"/>
        <v>0</v>
      </c>
      <c r="N40" s="922">
        <f t="shared" si="13"/>
        <v>0</v>
      </c>
      <c r="O40" s="922">
        <f t="shared" si="13"/>
        <v>0</v>
      </c>
      <c r="P40" s="922">
        <f t="shared" si="13"/>
        <v>0</v>
      </c>
      <c r="Q40" s="922">
        <f t="shared" si="13"/>
        <v>0</v>
      </c>
      <c r="R40" s="922">
        <f t="shared" si="13"/>
        <v>0</v>
      </c>
      <c r="S40" s="922">
        <f t="shared" si="13"/>
        <v>0</v>
      </c>
      <c r="T40" s="922">
        <f t="shared" si="13"/>
        <v>0</v>
      </c>
      <c r="U40" s="922">
        <f t="shared" si="13"/>
        <v>0</v>
      </c>
      <c r="V40" s="922">
        <f t="shared" si="13"/>
        <v>0</v>
      </c>
      <c r="W40" s="922">
        <f t="shared" si="13"/>
        <v>0</v>
      </c>
      <c r="X40" s="922">
        <f t="shared" si="13"/>
        <v>0</v>
      </c>
      <c r="Y40" s="922">
        <f t="shared" si="13"/>
        <v>0</v>
      </c>
      <c r="Z40" s="922">
        <f t="shared" si="13"/>
        <v>0</v>
      </c>
      <c r="AA40" s="922">
        <f t="shared" si="13"/>
        <v>0</v>
      </c>
      <c r="AB40" s="922">
        <f t="shared" si="13"/>
        <v>0</v>
      </c>
      <c r="AC40" s="922">
        <f t="shared" si="13"/>
        <v>0</v>
      </c>
      <c r="AD40" s="922">
        <f t="shared" si="13"/>
        <v>0</v>
      </c>
      <c r="AE40" s="922">
        <f t="shared" si="13"/>
        <v>0</v>
      </c>
      <c r="AF40" s="922">
        <f t="shared" si="13"/>
        <v>0</v>
      </c>
      <c r="AG40" s="922">
        <f t="shared" si="13"/>
        <v>0</v>
      </c>
      <c r="AH40" s="922">
        <f t="shared" si="13"/>
        <v>0</v>
      </c>
      <c r="AI40" s="923">
        <f t="shared" si="13"/>
        <v>0</v>
      </c>
      <c r="AJ40" s="183"/>
      <c r="AK40" s="924"/>
      <c r="AL40" s="13"/>
      <c r="AM40" s="181"/>
      <c r="AN40" s="182"/>
    </row>
    <row r="41" spans="1:46" s="37" customFormat="1" x14ac:dyDescent="0.2">
      <c r="A41" s="148"/>
      <c r="B41" s="1066" t="str">
        <f>ctArbeitsgebiete!A9</f>
        <v>A01</v>
      </c>
      <c r="C41" s="1067" t="str">
        <f>IF(ctArbeitsgebiete!B9&lt;&gt;"",ctArbeitsgebiete!B9,"")</f>
        <v/>
      </c>
      <c r="D41" s="1068"/>
      <c r="E41" s="1069"/>
      <c r="F41" s="1070"/>
      <c r="G41" s="1070"/>
      <c r="H41" s="1070"/>
      <c r="I41" s="1070"/>
      <c r="J41" s="1070"/>
      <c r="K41" s="1070"/>
      <c r="L41" s="1070"/>
      <c r="M41" s="1070"/>
      <c r="N41" s="1070"/>
      <c r="O41" s="1070"/>
      <c r="P41" s="1070"/>
      <c r="Q41" s="1070"/>
      <c r="R41" s="1070"/>
      <c r="S41" s="1070"/>
      <c r="T41" s="1070"/>
      <c r="U41" s="1070"/>
      <c r="V41" s="1070"/>
      <c r="W41" s="1070"/>
      <c r="X41" s="1070"/>
      <c r="Y41" s="1070"/>
      <c r="Z41" s="1070"/>
      <c r="AA41" s="1070"/>
      <c r="AB41" s="1070"/>
      <c r="AC41" s="1070"/>
      <c r="AD41" s="1070"/>
      <c r="AE41" s="1070"/>
      <c r="AF41" s="1070"/>
      <c r="AG41" s="1070"/>
      <c r="AH41" s="1070"/>
      <c r="AI41" s="1071"/>
      <c r="AJ41" s="1072">
        <f>SUM(E41:AI41)</f>
        <v>0</v>
      </c>
      <c r="AK41" s="152"/>
      <c r="AL41" s="146"/>
      <c r="AM41" s="147"/>
      <c r="AN41" s="147"/>
      <c r="AO41" s="147"/>
      <c r="AP41" s="147"/>
      <c r="AQ41" s="147"/>
      <c r="AR41" s="147"/>
      <c r="AS41" s="88"/>
      <c r="AT41" s="34"/>
    </row>
    <row r="42" spans="1:46" x14ac:dyDescent="0.2">
      <c r="A42" s="165"/>
      <c r="B42" s="185" t="str">
        <f>ctArbeitsgebiete!A10</f>
        <v>A02</v>
      </c>
      <c r="C42" s="186" t="str">
        <f>IF(ctArbeitsgebiete!B10&lt;&gt;"",ctArbeitsgebiete!B10,"")</f>
        <v/>
      </c>
      <c r="D42" s="187"/>
      <c r="E42" s="913"/>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322"/>
      <c r="AJ42" s="188">
        <f t="shared" ref="AJ42:AJ84" si="14">SUM(E42:AI42)</f>
        <v>0</v>
      </c>
      <c r="AK42" s="152"/>
      <c r="AL42" s="113"/>
      <c r="AM42" s="89"/>
      <c r="AN42" s="89"/>
      <c r="AO42" s="89"/>
      <c r="AP42" s="89"/>
      <c r="AQ42" s="89"/>
      <c r="AR42" s="89"/>
      <c r="AT42" s="88"/>
    </row>
    <row r="43" spans="1:46" x14ac:dyDescent="0.2">
      <c r="A43" s="165"/>
      <c r="B43" s="185" t="str">
        <f>ctArbeitsgebiete!A11</f>
        <v>A03</v>
      </c>
      <c r="C43" s="186" t="str">
        <f>IF(ctArbeitsgebiete!B11&lt;&gt;"",ctArbeitsgebiete!B11,"")</f>
        <v/>
      </c>
      <c r="D43" s="187"/>
      <c r="E43" s="913"/>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22"/>
      <c r="AJ43" s="188">
        <f t="shared" si="14"/>
        <v>0</v>
      </c>
      <c r="AK43" s="152"/>
      <c r="AL43" s="113"/>
      <c r="AM43" s="89"/>
      <c r="AN43" s="89"/>
      <c r="AO43" s="89"/>
      <c r="AP43" s="89"/>
      <c r="AQ43" s="89"/>
      <c r="AR43" s="89"/>
    </row>
    <row r="44" spans="1:46" x14ac:dyDescent="0.2">
      <c r="A44" s="165"/>
      <c r="B44" s="185" t="str">
        <f>ctArbeitsgebiete!A12</f>
        <v>A04</v>
      </c>
      <c r="C44" s="186" t="str">
        <f>IF(ctArbeitsgebiete!B12&lt;&gt;"",ctArbeitsgebiete!B12,"")</f>
        <v/>
      </c>
      <c r="D44" s="187"/>
      <c r="E44" s="913"/>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322"/>
      <c r="AJ44" s="188">
        <f t="shared" si="14"/>
        <v>0</v>
      </c>
      <c r="AK44" s="152"/>
      <c r="AL44" s="113"/>
      <c r="AM44" s="89"/>
      <c r="AN44" s="89"/>
      <c r="AO44" s="89"/>
      <c r="AP44" s="89"/>
      <c r="AQ44" s="89"/>
      <c r="AR44" s="89"/>
    </row>
    <row r="45" spans="1:46" x14ac:dyDescent="0.2">
      <c r="A45" s="165"/>
      <c r="B45" s="185" t="str">
        <f>ctArbeitsgebiete!A13</f>
        <v>A05</v>
      </c>
      <c r="C45" s="186" t="str">
        <f>IF(ctArbeitsgebiete!B13&lt;&gt;"",ctArbeitsgebiete!B13,"")</f>
        <v/>
      </c>
      <c r="D45" s="187"/>
      <c r="E45" s="913"/>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322"/>
      <c r="AJ45" s="188">
        <f t="shared" si="14"/>
        <v>0</v>
      </c>
      <c r="AK45" s="152"/>
      <c r="AL45" s="113"/>
      <c r="AM45" s="89"/>
      <c r="AN45" s="89"/>
      <c r="AO45" s="89"/>
      <c r="AP45" s="89"/>
      <c r="AQ45" s="89"/>
      <c r="AR45" s="89"/>
    </row>
    <row r="46" spans="1:46" x14ac:dyDescent="0.2">
      <c r="A46" s="165"/>
      <c r="B46" s="185" t="str">
        <f>ctArbeitsgebiete!A14</f>
        <v>A06</v>
      </c>
      <c r="C46" s="186" t="str">
        <f>IF(ctArbeitsgebiete!B14&lt;&gt;"",ctArbeitsgebiete!B14,"")</f>
        <v/>
      </c>
      <c r="D46" s="187"/>
      <c r="E46" s="913"/>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322"/>
      <c r="AJ46" s="188">
        <f t="shared" si="14"/>
        <v>0</v>
      </c>
      <c r="AK46" s="152"/>
      <c r="AL46" s="113"/>
      <c r="AM46" s="89"/>
      <c r="AN46" s="89"/>
      <c r="AO46" s="89"/>
      <c r="AP46" s="89"/>
      <c r="AQ46" s="89"/>
      <c r="AR46" s="89"/>
    </row>
    <row r="47" spans="1:46" x14ac:dyDescent="0.2">
      <c r="A47" s="165"/>
      <c r="B47" s="185" t="str">
        <f>ctArbeitsgebiete!A15</f>
        <v>A07</v>
      </c>
      <c r="C47" s="186" t="str">
        <f>IF(ctArbeitsgebiete!B15&lt;&gt;"",ctArbeitsgebiete!B15,"")</f>
        <v/>
      </c>
      <c r="D47" s="187"/>
      <c r="E47" s="913"/>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322"/>
      <c r="AJ47" s="188">
        <f t="shared" si="14"/>
        <v>0</v>
      </c>
      <c r="AK47" s="152"/>
      <c r="AL47" s="113"/>
      <c r="AM47" s="89"/>
      <c r="AN47" s="89"/>
      <c r="AO47" s="89"/>
      <c r="AP47" s="89"/>
      <c r="AQ47" s="89"/>
      <c r="AR47" s="89"/>
    </row>
    <row r="48" spans="1:46" x14ac:dyDescent="0.2">
      <c r="A48" s="165"/>
      <c r="B48" s="185" t="str">
        <f>ctArbeitsgebiete!A16</f>
        <v>A08</v>
      </c>
      <c r="C48" s="186" t="str">
        <f>IF(ctArbeitsgebiete!B16&lt;&gt;"",ctArbeitsgebiete!B16,"")</f>
        <v/>
      </c>
      <c r="D48" s="187"/>
      <c r="E48" s="913"/>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322"/>
      <c r="AJ48" s="188">
        <f t="shared" si="14"/>
        <v>0</v>
      </c>
      <c r="AK48" s="152"/>
      <c r="AL48" s="113"/>
      <c r="AM48" s="89"/>
      <c r="AN48" s="89"/>
      <c r="AO48" s="89"/>
      <c r="AP48" s="89"/>
      <c r="AQ48" s="89"/>
      <c r="AR48" s="89"/>
    </row>
    <row r="49" spans="1:44" x14ac:dyDescent="0.2">
      <c r="A49" s="165"/>
      <c r="B49" s="185" t="str">
        <f>ctArbeitsgebiete!A17</f>
        <v>A09</v>
      </c>
      <c r="C49" s="186" t="str">
        <f>IF(ctArbeitsgebiete!B17&lt;&gt;"",ctArbeitsgebiete!B17,"")</f>
        <v/>
      </c>
      <c r="D49" s="187"/>
      <c r="E49" s="913"/>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322"/>
      <c r="AJ49" s="188">
        <f t="shared" si="14"/>
        <v>0</v>
      </c>
      <c r="AK49" s="152"/>
      <c r="AL49" s="113"/>
      <c r="AM49" s="89"/>
      <c r="AN49" s="89"/>
      <c r="AO49" s="89"/>
      <c r="AP49" s="89"/>
      <c r="AQ49" s="89"/>
      <c r="AR49" s="89"/>
    </row>
    <row r="50" spans="1:44" x14ac:dyDescent="0.2">
      <c r="A50" s="165"/>
      <c r="B50" s="185" t="str">
        <f>ctArbeitsgebiete!A18</f>
        <v>A10</v>
      </c>
      <c r="C50" s="186" t="str">
        <f>IF(ctArbeitsgebiete!B18&lt;&gt;"",ctArbeitsgebiete!B18,"")</f>
        <v/>
      </c>
      <c r="D50" s="187"/>
      <c r="E50" s="913"/>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322"/>
      <c r="AJ50" s="188">
        <f t="shared" si="14"/>
        <v>0</v>
      </c>
      <c r="AK50" s="152"/>
      <c r="AL50" s="113"/>
      <c r="AM50" s="89"/>
      <c r="AN50" s="89"/>
      <c r="AO50" s="89"/>
      <c r="AP50" s="89"/>
      <c r="AQ50" s="89"/>
      <c r="AR50" s="89"/>
    </row>
    <row r="51" spans="1:44" x14ac:dyDescent="0.2">
      <c r="A51" s="165"/>
      <c r="B51" s="185" t="str">
        <f>ctArbeitsgebiete!A19</f>
        <v>A11</v>
      </c>
      <c r="C51" s="186" t="str">
        <f>IF(ctArbeitsgebiete!B19&lt;&gt;"",ctArbeitsgebiete!B19,"")</f>
        <v/>
      </c>
      <c r="D51" s="187"/>
      <c r="E51" s="913"/>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322"/>
      <c r="AJ51" s="188">
        <f t="shared" si="14"/>
        <v>0</v>
      </c>
      <c r="AK51" s="152"/>
      <c r="AL51" s="113"/>
      <c r="AM51" s="89"/>
      <c r="AN51" s="89"/>
      <c r="AO51" s="89"/>
      <c r="AP51" s="89"/>
      <c r="AQ51" s="89"/>
      <c r="AR51" s="89"/>
    </row>
    <row r="52" spans="1:44" x14ac:dyDescent="0.2">
      <c r="A52" s="165"/>
      <c r="B52" s="185" t="str">
        <f>ctArbeitsgebiete!A20</f>
        <v>A12</v>
      </c>
      <c r="C52" s="186" t="str">
        <f>IF(ctArbeitsgebiete!B20&lt;&gt;"",ctArbeitsgebiete!B20,"")</f>
        <v/>
      </c>
      <c r="D52" s="187"/>
      <c r="E52" s="913"/>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322"/>
      <c r="AJ52" s="188">
        <f t="shared" si="14"/>
        <v>0</v>
      </c>
      <c r="AK52" s="152"/>
      <c r="AL52" s="113"/>
      <c r="AM52" s="89"/>
      <c r="AN52" s="89"/>
      <c r="AO52" s="89"/>
      <c r="AP52" s="89"/>
      <c r="AQ52" s="89"/>
      <c r="AR52" s="89"/>
    </row>
    <row r="53" spans="1:44" x14ac:dyDescent="0.2">
      <c r="A53" s="165"/>
      <c r="B53" s="185" t="str">
        <f>ctArbeitsgebiete!A21</f>
        <v>A13</v>
      </c>
      <c r="C53" s="186" t="str">
        <f>IF(ctArbeitsgebiete!B21&lt;&gt;"",ctArbeitsgebiete!B21,"")</f>
        <v/>
      </c>
      <c r="D53" s="187"/>
      <c r="E53" s="913"/>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322"/>
      <c r="AJ53" s="188">
        <f t="shared" si="14"/>
        <v>0</v>
      </c>
      <c r="AK53" s="152"/>
      <c r="AL53" s="113"/>
      <c r="AM53" s="89"/>
      <c r="AN53" s="89"/>
      <c r="AO53" s="89"/>
      <c r="AP53" s="89"/>
      <c r="AQ53" s="89"/>
      <c r="AR53" s="89"/>
    </row>
    <row r="54" spans="1:44" x14ac:dyDescent="0.2">
      <c r="A54" s="165"/>
      <c r="B54" s="185" t="str">
        <f>ctArbeitsgebiete!A22</f>
        <v>A14</v>
      </c>
      <c r="C54" s="186" t="str">
        <f>IF(ctArbeitsgebiete!B22&lt;&gt;"",ctArbeitsgebiete!B22,"")</f>
        <v/>
      </c>
      <c r="D54" s="187"/>
      <c r="E54" s="913"/>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322"/>
      <c r="AJ54" s="188">
        <f t="shared" si="14"/>
        <v>0</v>
      </c>
      <c r="AK54" s="152"/>
      <c r="AL54" s="113"/>
      <c r="AM54" s="89"/>
      <c r="AN54" s="89"/>
      <c r="AO54" s="89"/>
      <c r="AP54" s="89"/>
      <c r="AQ54" s="89"/>
      <c r="AR54" s="89"/>
    </row>
    <row r="55" spans="1:44" x14ac:dyDescent="0.2">
      <c r="A55" s="165"/>
      <c r="B55" s="185" t="str">
        <f>ctArbeitsgebiete!A23</f>
        <v>A15</v>
      </c>
      <c r="C55" s="186" t="str">
        <f>IF(ctArbeitsgebiete!B23&lt;&gt;"",ctArbeitsgebiete!B23,"")</f>
        <v/>
      </c>
      <c r="D55" s="187"/>
      <c r="E55" s="225"/>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322"/>
      <c r="AJ55" s="188">
        <f t="shared" si="14"/>
        <v>0</v>
      </c>
      <c r="AK55" s="152"/>
      <c r="AL55" s="113"/>
      <c r="AM55" s="89"/>
      <c r="AN55" s="89"/>
      <c r="AO55" s="89"/>
      <c r="AP55" s="89"/>
      <c r="AQ55" s="89"/>
      <c r="AR55" s="89"/>
    </row>
    <row r="56" spans="1:44" x14ac:dyDescent="0.2">
      <c r="A56" s="165"/>
      <c r="B56" s="189" t="str">
        <f>ctArbeitsgebiete!A24</f>
        <v>A16</v>
      </c>
      <c r="C56" s="190" t="str">
        <f>IF(ctArbeitsgebiete!B24&lt;&gt;"",ctArbeitsgebiete!B24,"")</f>
        <v/>
      </c>
      <c r="D56" s="191"/>
      <c r="E56" s="915"/>
      <c r="F56" s="915"/>
      <c r="G56" s="915"/>
      <c r="H56" s="915"/>
      <c r="I56" s="915"/>
      <c r="J56" s="915"/>
      <c r="K56" s="915"/>
      <c r="L56" s="915"/>
      <c r="M56" s="915"/>
      <c r="N56" s="915"/>
      <c r="O56" s="915"/>
      <c r="P56" s="915"/>
      <c r="Q56" s="915"/>
      <c r="R56" s="915"/>
      <c r="S56" s="915"/>
      <c r="T56" s="915"/>
      <c r="U56" s="915"/>
      <c r="V56" s="915"/>
      <c r="W56" s="915"/>
      <c r="X56" s="915"/>
      <c r="Y56" s="915"/>
      <c r="Z56" s="915"/>
      <c r="AA56" s="915"/>
      <c r="AB56" s="915"/>
      <c r="AC56" s="915"/>
      <c r="AD56" s="915"/>
      <c r="AE56" s="915"/>
      <c r="AF56" s="915"/>
      <c r="AG56" s="915"/>
      <c r="AH56" s="915"/>
      <c r="AI56" s="916"/>
      <c r="AJ56" s="192">
        <f t="shared" si="14"/>
        <v>0</v>
      </c>
      <c r="AK56" s="912"/>
      <c r="AL56" s="113"/>
      <c r="AM56" s="89"/>
      <c r="AN56" s="89"/>
      <c r="AO56" s="89"/>
      <c r="AP56" s="89"/>
      <c r="AQ56" s="89"/>
      <c r="AR56" s="89"/>
    </row>
    <row r="57" spans="1:44" x14ac:dyDescent="0.2">
      <c r="A57" s="165"/>
      <c r="B57" s="1066" t="str">
        <f>ctArbeitsgebiete!D9</f>
        <v>B01</v>
      </c>
      <c r="C57" s="1073" t="str">
        <f>IF(ctArbeitsgebiete!E9&lt;&gt;"",ctArbeitsgebiete!E9,"")</f>
        <v/>
      </c>
      <c r="D57" s="1074" t="str">
        <f>IF(ctArbeitsgebiete!F9&lt;&gt;"",ctArbeitsgebiete!F9,"")</f>
        <v/>
      </c>
      <c r="E57" s="1070"/>
      <c r="F57" s="1070"/>
      <c r="G57" s="1070"/>
      <c r="H57" s="1070"/>
      <c r="I57" s="1070"/>
      <c r="J57" s="1070"/>
      <c r="K57" s="1070"/>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0"/>
      <c r="AH57" s="1070"/>
      <c r="AI57" s="1071"/>
      <c r="AJ57" s="1075">
        <f t="shared" si="14"/>
        <v>0</v>
      </c>
      <c r="AK57" s="1060"/>
      <c r="AL57" s="113"/>
      <c r="AM57" s="89"/>
      <c r="AN57" s="89"/>
      <c r="AO57" s="89"/>
      <c r="AP57" s="89"/>
      <c r="AQ57" s="89"/>
      <c r="AR57" s="89"/>
    </row>
    <row r="58" spans="1:44" x14ac:dyDescent="0.2">
      <c r="A58" s="165"/>
      <c r="B58" s="185" t="str">
        <f>ctArbeitsgebiete!D10</f>
        <v>B02</v>
      </c>
      <c r="C58" s="193" t="str">
        <f>IF(ctArbeitsgebiete!E10&lt;&gt;"",ctArbeitsgebiete!E10,"")</f>
        <v/>
      </c>
      <c r="D58" s="194"/>
      <c r="E58" s="225"/>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322"/>
      <c r="AJ58" s="195">
        <f t="shared" si="14"/>
        <v>0</v>
      </c>
      <c r="AK58" s="152"/>
      <c r="AL58" s="113"/>
      <c r="AM58" s="89"/>
      <c r="AN58" s="89"/>
      <c r="AO58" s="89"/>
      <c r="AP58" s="89"/>
      <c r="AQ58" s="89"/>
      <c r="AR58" s="89"/>
    </row>
    <row r="59" spans="1:44" x14ac:dyDescent="0.2">
      <c r="A59" s="165"/>
      <c r="B59" s="185" t="str">
        <f>ctArbeitsgebiete!D11</f>
        <v>B03</v>
      </c>
      <c r="C59" s="193" t="str">
        <f>IF(ctArbeitsgebiete!E11&lt;&gt;"",ctArbeitsgebiete!E11,"")</f>
        <v/>
      </c>
      <c r="D59" s="194"/>
      <c r="E59" s="225"/>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322"/>
      <c r="AJ59" s="195">
        <f t="shared" si="14"/>
        <v>0</v>
      </c>
      <c r="AK59" s="152"/>
      <c r="AL59" s="113"/>
      <c r="AM59" s="89"/>
      <c r="AN59" s="89"/>
      <c r="AO59" s="89"/>
      <c r="AP59" s="89"/>
      <c r="AQ59" s="89"/>
      <c r="AR59" s="89"/>
    </row>
    <row r="60" spans="1:44" x14ac:dyDescent="0.2">
      <c r="A60" s="165"/>
      <c r="B60" s="185" t="str">
        <f>ctArbeitsgebiete!D12</f>
        <v>B04</v>
      </c>
      <c r="C60" s="193" t="str">
        <f>IF(ctArbeitsgebiete!E12&lt;&gt;"",ctArbeitsgebiete!E12,"")</f>
        <v/>
      </c>
      <c r="D60" s="194"/>
      <c r="E60" s="225"/>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322"/>
      <c r="AJ60" s="195">
        <f t="shared" si="14"/>
        <v>0</v>
      </c>
      <c r="AK60" s="152"/>
      <c r="AL60" s="113"/>
      <c r="AM60" s="89"/>
      <c r="AN60" s="89"/>
      <c r="AO60" s="89"/>
      <c r="AP60" s="89"/>
      <c r="AQ60" s="89"/>
      <c r="AR60" s="89"/>
    </row>
    <row r="61" spans="1:44" x14ac:dyDescent="0.2">
      <c r="A61" s="165"/>
      <c r="B61" s="185" t="str">
        <f>ctArbeitsgebiete!D13</f>
        <v>B05</v>
      </c>
      <c r="C61" s="193" t="str">
        <f>IF(ctArbeitsgebiete!E13&lt;&gt;"",ctArbeitsgebiete!E13,"")</f>
        <v/>
      </c>
      <c r="D61" s="194"/>
      <c r="E61" s="225"/>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322"/>
      <c r="AJ61" s="195">
        <f t="shared" si="14"/>
        <v>0</v>
      </c>
      <c r="AK61" s="152"/>
      <c r="AL61" s="113"/>
      <c r="AM61" s="89"/>
      <c r="AN61" s="89"/>
      <c r="AO61" s="89"/>
      <c r="AP61" s="89"/>
      <c r="AQ61" s="89"/>
      <c r="AR61" s="89"/>
    </row>
    <row r="62" spans="1:44" x14ac:dyDescent="0.2">
      <c r="A62" s="165"/>
      <c r="B62" s="185" t="str">
        <f>ctArbeitsgebiete!D14</f>
        <v>B06</v>
      </c>
      <c r="C62" s="193" t="str">
        <f>IF(ctArbeitsgebiete!E14&lt;&gt;"",ctArbeitsgebiete!E14,"")</f>
        <v/>
      </c>
      <c r="D62" s="194"/>
      <c r="E62" s="225"/>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322"/>
      <c r="AJ62" s="195">
        <f t="shared" si="14"/>
        <v>0</v>
      </c>
      <c r="AK62" s="152"/>
      <c r="AL62" s="113"/>
      <c r="AM62" s="89"/>
      <c r="AN62" s="89"/>
      <c r="AO62" s="89"/>
      <c r="AP62" s="89"/>
      <c r="AQ62" s="89"/>
      <c r="AR62" s="89"/>
    </row>
    <row r="63" spans="1:44" x14ac:dyDescent="0.2">
      <c r="A63" s="165"/>
      <c r="B63" s="185" t="str">
        <f>ctArbeitsgebiete!D15</f>
        <v>B07</v>
      </c>
      <c r="C63" s="193" t="str">
        <f>IF(ctArbeitsgebiete!E15&lt;&gt;"",ctArbeitsgebiete!E15,"")</f>
        <v/>
      </c>
      <c r="D63" s="194"/>
      <c r="E63" s="225"/>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322"/>
      <c r="AJ63" s="195">
        <f t="shared" si="14"/>
        <v>0</v>
      </c>
      <c r="AK63" s="152"/>
      <c r="AL63" s="113"/>
      <c r="AM63" s="89"/>
      <c r="AN63" s="89"/>
      <c r="AO63" s="89"/>
      <c r="AP63" s="89"/>
      <c r="AQ63" s="89"/>
      <c r="AR63" s="89"/>
    </row>
    <row r="64" spans="1:44" x14ac:dyDescent="0.2">
      <c r="A64" s="165"/>
      <c r="B64" s="185" t="str">
        <f>ctArbeitsgebiete!D16</f>
        <v>B08</v>
      </c>
      <c r="C64" s="193" t="str">
        <f>IF(ctArbeitsgebiete!E16&lt;&gt;"",ctArbeitsgebiete!E16,"")</f>
        <v/>
      </c>
      <c r="D64" s="194"/>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322"/>
      <c r="AJ64" s="195">
        <f t="shared" si="14"/>
        <v>0</v>
      </c>
      <c r="AK64" s="152"/>
      <c r="AL64" s="113"/>
      <c r="AM64" s="89"/>
      <c r="AN64" s="89"/>
      <c r="AO64" s="89"/>
      <c r="AP64" s="89"/>
      <c r="AQ64" s="89"/>
      <c r="AR64" s="89"/>
    </row>
    <row r="65" spans="1:44" x14ac:dyDescent="0.2">
      <c r="A65" s="165"/>
      <c r="B65" s="185" t="str">
        <f>ctArbeitsgebiete!D17</f>
        <v>B09</v>
      </c>
      <c r="C65" s="193" t="str">
        <f>IF(ctArbeitsgebiete!E17&lt;&gt;"",ctArbeitsgebiete!E17,"")</f>
        <v/>
      </c>
      <c r="D65" s="194"/>
      <c r="E65" s="225"/>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322"/>
      <c r="AJ65" s="195">
        <f t="shared" si="14"/>
        <v>0</v>
      </c>
      <c r="AK65" s="152"/>
      <c r="AL65" s="113"/>
      <c r="AM65" s="89"/>
      <c r="AN65" s="89"/>
      <c r="AO65" s="89"/>
      <c r="AP65" s="89"/>
      <c r="AQ65" s="89"/>
      <c r="AR65" s="89"/>
    </row>
    <row r="66" spans="1:44" x14ac:dyDescent="0.2">
      <c r="A66" s="165"/>
      <c r="B66" s="185" t="str">
        <f>ctArbeitsgebiete!D18</f>
        <v>B10</v>
      </c>
      <c r="C66" s="193" t="str">
        <f>IF(ctArbeitsgebiete!E18&lt;&gt;"",ctArbeitsgebiete!E18,"")</f>
        <v/>
      </c>
      <c r="D66" s="194"/>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322"/>
      <c r="AJ66" s="195">
        <f t="shared" si="14"/>
        <v>0</v>
      </c>
      <c r="AK66" s="152"/>
      <c r="AL66" s="113"/>
      <c r="AM66" s="89"/>
      <c r="AN66" s="89"/>
      <c r="AO66" s="89"/>
      <c r="AP66" s="89"/>
      <c r="AQ66" s="89"/>
      <c r="AR66" s="89"/>
    </row>
    <row r="67" spans="1:44" x14ac:dyDescent="0.2">
      <c r="A67" s="165"/>
      <c r="B67" s="185" t="str">
        <f>ctArbeitsgebiete!D19</f>
        <v>B11</v>
      </c>
      <c r="C67" s="193" t="str">
        <f>IF(ctArbeitsgebiete!E19&lt;&gt;"",ctArbeitsgebiete!E19,"")</f>
        <v/>
      </c>
      <c r="D67" s="194"/>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322"/>
      <c r="AJ67" s="195">
        <f t="shared" si="14"/>
        <v>0</v>
      </c>
      <c r="AK67" s="152"/>
      <c r="AL67" s="113"/>
      <c r="AM67" s="89"/>
      <c r="AN67" s="89"/>
      <c r="AO67" s="89"/>
      <c r="AP67" s="89"/>
      <c r="AQ67" s="89"/>
      <c r="AR67" s="89"/>
    </row>
    <row r="68" spans="1:44" x14ac:dyDescent="0.2">
      <c r="A68" s="165"/>
      <c r="B68" s="189" t="str">
        <f>ctArbeitsgebiete!D20</f>
        <v>B12</v>
      </c>
      <c r="C68" s="196" t="str">
        <f>IF(ctArbeitsgebiete!E20&lt;&gt;"",ctArbeitsgebiete!E20,"")</f>
        <v/>
      </c>
      <c r="D68" s="197"/>
      <c r="E68" s="915"/>
      <c r="F68" s="915"/>
      <c r="G68" s="915"/>
      <c r="H68" s="915"/>
      <c r="I68" s="915"/>
      <c r="J68" s="915"/>
      <c r="K68" s="915"/>
      <c r="L68" s="915"/>
      <c r="M68" s="915"/>
      <c r="N68" s="915"/>
      <c r="O68" s="915"/>
      <c r="P68" s="915"/>
      <c r="Q68" s="915"/>
      <c r="R68" s="915"/>
      <c r="S68" s="915"/>
      <c r="T68" s="915"/>
      <c r="U68" s="915"/>
      <c r="V68" s="915"/>
      <c r="W68" s="915"/>
      <c r="X68" s="915"/>
      <c r="Y68" s="915"/>
      <c r="Z68" s="915"/>
      <c r="AA68" s="915"/>
      <c r="AB68" s="915"/>
      <c r="AC68" s="915"/>
      <c r="AD68" s="915"/>
      <c r="AE68" s="915"/>
      <c r="AF68" s="915"/>
      <c r="AG68" s="915"/>
      <c r="AH68" s="915"/>
      <c r="AI68" s="916"/>
      <c r="AJ68" s="198">
        <f t="shared" si="14"/>
        <v>0</v>
      </c>
      <c r="AK68" s="912"/>
      <c r="AL68" s="113"/>
      <c r="AM68" s="89"/>
      <c r="AN68" s="89"/>
      <c r="AO68" s="89"/>
      <c r="AP68" s="89"/>
      <c r="AQ68" s="89"/>
      <c r="AR68" s="89"/>
    </row>
    <row r="69" spans="1:44" x14ac:dyDescent="0.2">
      <c r="A69" s="165"/>
      <c r="B69" s="1066" t="str">
        <f>ctArbeitsgebiete!G9</f>
        <v>C01</v>
      </c>
      <c r="C69" s="1076" t="str">
        <f>IF(ctArbeitsgebiete!H9&lt;&gt;"",ctArbeitsgebiete!H9,"")</f>
        <v/>
      </c>
      <c r="D69" s="1077"/>
      <c r="E69" s="1070"/>
      <c r="F69" s="1070"/>
      <c r="G69" s="1070"/>
      <c r="H69" s="1070"/>
      <c r="I69" s="1070"/>
      <c r="J69" s="1070"/>
      <c r="K69" s="1070"/>
      <c r="L69" s="1070"/>
      <c r="M69" s="1070"/>
      <c r="N69" s="1070"/>
      <c r="O69" s="1070"/>
      <c r="P69" s="1070"/>
      <c r="Q69" s="1070"/>
      <c r="R69" s="1070"/>
      <c r="S69" s="1070"/>
      <c r="T69" s="1070"/>
      <c r="U69" s="1070"/>
      <c r="V69" s="1070"/>
      <c r="W69" s="1070"/>
      <c r="X69" s="1070"/>
      <c r="Y69" s="1070"/>
      <c r="Z69" s="1070"/>
      <c r="AA69" s="1070"/>
      <c r="AB69" s="1070"/>
      <c r="AC69" s="1070"/>
      <c r="AD69" s="1070"/>
      <c r="AE69" s="1070"/>
      <c r="AF69" s="1070"/>
      <c r="AG69" s="1070"/>
      <c r="AH69" s="1070"/>
      <c r="AI69" s="1071"/>
      <c r="AJ69" s="1078">
        <f t="shared" si="14"/>
        <v>0</v>
      </c>
      <c r="AK69" s="1060"/>
      <c r="AL69" s="113"/>
      <c r="AM69" s="89"/>
      <c r="AN69" s="89"/>
      <c r="AO69" s="89"/>
      <c r="AP69" s="89"/>
      <c r="AQ69" s="89"/>
      <c r="AR69" s="89"/>
    </row>
    <row r="70" spans="1:44" x14ac:dyDescent="0.2">
      <c r="A70" s="165"/>
      <c r="B70" s="185" t="str">
        <f>ctArbeitsgebiete!G10</f>
        <v>C02</v>
      </c>
      <c r="C70" s="199" t="str">
        <f>IF(ctArbeitsgebiete!H10&lt;&gt;"",ctArbeitsgebiete!H10,"")</f>
        <v/>
      </c>
      <c r="D70" s="200"/>
      <c r="E70" s="225"/>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322"/>
      <c r="AJ70" s="201">
        <f t="shared" si="14"/>
        <v>0</v>
      </c>
      <c r="AK70" s="152"/>
      <c r="AL70" s="113"/>
      <c r="AM70" s="89"/>
      <c r="AN70" s="89"/>
      <c r="AO70" s="89"/>
      <c r="AP70" s="89"/>
      <c r="AQ70" s="89"/>
      <c r="AR70" s="89"/>
    </row>
    <row r="71" spans="1:44" x14ac:dyDescent="0.2">
      <c r="A71" s="165"/>
      <c r="B71" s="185" t="str">
        <f>ctArbeitsgebiete!G11</f>
        <v>C03</v>
      </c>
      <c r="C71" s="199" t="str">
        <f>IF(ctArbeitsgebiete!H11&lt;&gt;"",ctArbeitsgebiete!H11,"")</f>
        <v/>
      </c>
      <c r="D71" s="200"/>
      <c r="E71" s="225"/>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322"/>
      <c r="AJ71" s="201">
        <f t="shared" si="14"/>
        <v>0</v>
      </c>
      <c r="AK71" s="152"/>
      <c r="AL71" s="113"/>
      <c r="AM71" s="89"/>
      <c r="AN71" s="89"/>
      <c r="AO71" s="89"/>
      <c r="AP71" s="89"/>
      <c r="AQ71" s="89"/>
      <c r="AR71" s="89"/>
    </row>
    <row r="72" spans="1:44" x14ac:dyDescent="0.2">
      <c r="A72" s="165"/>
      <c r="B72" s="185" t="str">
        <f>ctArbeitsgebiete!G12</f>
        <v>C04</v>
      </c>
      <c r="C72" s="199" t="str">
        <f>IF(ctArbeitsgebiete!H12&lt;&gt;"",ctArbeitsgebiete!H12,"")</f>
        <v/>
      </c>
      <c r="D72" s="200"/>
      <c r="E72" s="225"/>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322"/>
      <c r="AJ72" s="201">
        <f t="shared" si="14"/>
        <v>0</v>
      </c>
      <c r="AK72" s="152"/>
      <c r="AL72" s="113"/>
      <c r="AM72" s="89"/>
      <c r="AN72" s="89"/>
      <c r="AO72" s="89"/>
      <c r="AP72" s="89"/>
      <c r="AQ72" s="89"/>
      <c r="AR72" s="89"/>
    </row>
    <row r="73" spans="1:44" x14ac:dyDescent="0.2">
      <c r="A73" s="165"/>
      <c r="B73" s="185" t="str">
        <f>ctArbeitsgebiete!G13</f>
        <v>C05</v>
      </c>
      <c r="C73" s="199" t="str">
        <f>IF(ctArbeitsgebiete!H13&lt;&gt;"",ctArbeitsgebiete!H13,"")</f>
        <v/>
      </c>
      <c r="D73" s="200"/>
      <c r="E73" s="225"/>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322"/>
      <c r="AJ73" s="201">
        <f t="shared" si="14"/>
        <v>0</v>
      </c>
      <c r="AK73" s="152"/>
      <c r="AL73" s="113"/>
      <c r="AM73" s="89"/>
      <c r="AN73" s="89"/>
      <c r="AO73" s="89"/>
      <c r="AP73" s="89"/>
      <c r="AQ73" s="89"/>
      <c r="AR73" s="89"/>
    </row>
    <row r="74" spans="1:44" x14ac:dyDescent="0.2">
      <c r="A74" s="165"/>
      <c r="B74" s="185" t="str">
        <f>ctArbeitsgebiete!G14</f>
        <v>C06</v>
      </c>
      <c r="C74" s="199" t="str">
        <f>IF(ctArbeitsgebiete!H14&lt;&gt;"",ctArbeitsgebiete!H14,"")</f>
        <v/>
      </c>
      <c r="D74" s="200"/>
      <c r="E74" s="225"/>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322"/>
      <c r="AJ74" s="201">
        <f t="shared" si="14"/>
        <v>0</v>
      </c>
      <c r="AK74" s="152"/>
      <c r="AL74" s="113"/>
      <c r="AM74" s="89"/>
      <c r="AN74" s="89"/>
      <c r="AO74" s="89"/>
      <c r="AP74" s="89"/>
      <c r="AQ74" s="89"/>
      <c r="AR74" s="89"/>
    </row>
    <row r="75" spans="1:44" x14ac:dyDescent="0.2">
      <c r="A75" s="165"/>
      <c r="B75" s="185" t="str">
        <f>ctArbeitsgebiete!G15</f>
        <v>C07</v>
      </c>
      <c r="C75" s="199" t="str">
        <f>IF(ctArbeitsgebiete!H15&lt;&gt;"",ctArbeitsgebiete!H15,"")</f>
        <v/>
      </c>
      <c r="D75" s="200"/>
      <c r="E75" s="225"/>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322"/>
      <c r="AJ75" s="201">
        <f t="shared" si="14"/>
        <v>0</v>
      </c>
      <c r="AK75" s="152"/>
      <c r="AL75" s="113"/>
      <c r="AM75" s="89"/>
      <c r="AN75" s="89"/>
      <c r="AO75" s="89"/>
      <c r="AP75" s="89"/>
      <c r="AQ75" s="89"/>
      <c r="AR75" s="89"/>
    </row>
    <row r="76" spans="1:44" x14ac:dyDescent="0.2">
      <c r="A76" s="165"/>
      <c r="B76" s="189" t="str">
        <f>ctArbeitsgebiete!G16</f>
        <v>C08</v>
      </c>
      <c r="C76" s="202" t="str">
        <f>IF(ctArbeitsgebiete!H16&lt;&gt;"",ctArbeitsgebiete!H16,"")</f>
        <v/>
      </c>
      <c r="D76" s="203"/>
      <c r="E76" s="915"/>
      <c r="F76" s="915"/>
      <c r="G76" s="915"/>
      <c r="H76" s="915"/>
      <c r="I76" s="915"/>
      <c r="J76" s="915"/>
      <c r="K76" s="915"/>
      <c r="L76" s="915"/>
      <c r="M76" s="915"/>
      <c r="N76" s="915"/>
      <c r="O76" s="915"/>
      <c r="P76" s="915"/>
      <c r="Q76" s="915"/>
      <c r="R76" s="915"/>
      <c r="S76" s="915"/>
      <c r="T76" s="915"/>
      <c r="U76" s="915"/>
      <c r="V76" s="915"/>
      <c r="W76" s="915"/>
      <c r="X76" s="915"/>
      <c r="Y76" s="915"/>
      <c r="Z76" s="915"/>
      <c r="AA76" s="915"/>
      <c r="AB76" s="915"/>
      <c r="AC76" s="915"/>
      <c r="AD76" s="915"/>
      <c r="AE76" s="915"/>
      <c r="AF76" s="915"/>
      <c r="AG76" s="915"/>
      <c r="AH76" s="915"/>
      <c r="AI76" s="916"/>
      <c r="AJ76" s="204">
        <f t="shared" si="14"/>
        <v>0</v>
      </c>
      <c r="AK76" s="912"/>
      <c r="AL76" s="113"/>
      <c r="AM76" s="89"/>
      <c r="AN76" s="89"/>
      <c r="AO76" s="89"/>
      <c r="AP76" s="89"/>
      <c r="AQ76" s="89"/>
      <c r="AR76" s="89"/>
    </row>
    <row r="77" spans="1:44" x14ac:dyDescent="0.2">
      <c r="A77" s="165"/>
      <c r="B77" s="1066" t="str">
        <f>ctArbeitsgebiete!J9</f>
        <v>D01</v>
      </c>
      <c r="C77" s="1079" t="str">
        <f>IF(ctArbeitsgebiete!K9&lt;&gt;"",ctArbeitsgebiete!K9,"")</f>
        <v>DAG</v>
      </c>
      <c r="D77" s="1080"/>
      <c r="E77" s="1070"/>
      <c r="F77" s="1070"/>
      <c r="G77" s="1070"/>
      <c r="H77" s="1070"/>
      <c r="I77" s="1070"/>
      <c r="J77" s="1070"/>
      <c r="K77" s="1070"/>
      <c r="L77" s="1070"/>
      <c r="M77" s="1070"/>
      <c r="N77" s="1070"/>
      <c r="O77" s="1070"/>
      <c r="P77" s="1070"/>
      <c r="Q77" s="1070"/>
      <c r="R77" s="1070"/>
      <c r="S77" s="1070"/>
      <c r="T77" s="1070"/>
      <c r="U77" s="1070"/>
      <c r="V77" s="1070"/>
      <c r="W77" s="1070"/>
      <c r="X77" s="1070"/>
      <c r="Y77" s="1070"/>
      <c r="Z77" s="1070"/>
      <c r="AA77" s="1070"/>
      <c r="AB77" s="1070"/>
      <c r="AC77" s="1070"/>
      <c r="AD77" s="1070"/>
      <c r="AE77" s="1070"/>
      <c r="AF77" s="1070"/>
      <c r="AG77" s="1070"/>
      <c r="AH77" s="1070"/>
      <c r="AI77" s="1071"/>
      <c r="AJ77" s="1059">
        <f t="shared" si="14"/>
        <v>0</v>
      </c>
      <c r="AK77" s="1060"/>
      <c r="AL77" s="113"/>
      <c r="AM77" s="89"/>
      <c r="AN77" s="89"/>
      <c r="AO77" s="89"/>
      <c r="AP77" s="89"/>
      <c r="AQ77" s="89"/>
      <c r="AR77" s="89"/>
    </row>
    <row r="78" spans="1:44" x14ac:dyDescent="0.2">
      <c r="A78" s="165"/>
      <c r="B78" s="185" t="str">
        <f>ctArbeitsgebiete!J10</f>
        <v>D02</v>
      </c>
      <c r="C78" s="205" t="str">
        <f>IF(ctArbeitsgebiete!K10&lt;&gt;"",ctArbeitsgebiete!K10,"")</f>
        <v>Betriebsausflug</v>
      </c>
      <c r="D78" s="206"/>
      <c r="E78" s="225"/>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322"/>
      <c r="AJ78" s="174">
        <f t="shared" si="14"/>
        <v>0</v>
      </c>
      <c r="AK78" s="152"/>
      <c r="AL78" s="113"/>
      <c r="AM78" s="89"/>
      <c r="AN78" s="89"/>
      <c r="AO78" s="89"/>
      <c r="AP78" s="89"/>
      <c r="AQ78" s="89"/>
      <c r="AR78" s="89"/>
    </row>
    <row r="79" spans="1:44" x14ac:dyDescent="0.2">
      <c r="A79" s="165"/>
      <c r="B79" s="185" t="str">
        <f>ctArbeitsgebiete!J11</f>
        <v>D03</v>
      </c>
      <c r="C79" s="205" t="str">
        <f>IF(ctArbeitsgebiete!K11&lt;&gt;"",ctArbeitsgebiete!K11,"")</f>
        <v/>
      </c>
      <c r="D79" s="206"/>
      <c r="E79" s="225"/>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322"/>
      <c r="AJ79" s="174">
        <f t="shared" si="14"/>
        <v>0</v>
      </c>
      <c r="AK79" s="152"/>
      <c r="AL79" s="113"/>
      <c r="AM79" s="89"/>
      <c r="AN79" s="89"/>
      <c r="AO79" s="89"/>
      <c r="AP79" s="89"/>
      <c r="AQ79" s="89"/>
      <c r="AR79" s="89"/>
    </row>
    <row r="80" spans="1:44" x14ac:dyDescent="0.2">
      <c r="A80" s="165"/>
      <c r="B80" s="185" t="str">
        <f>ctArbeitsgebiete!J12</f>
        <v>D04</v>
      </c>
      <c r="C80" s="205" t="str">
        <f>IF(ctArbeitsgebiete!K12&lt;&gt;"",ctArbeitsgebiete!K12,"")</f>
        <v/>
      </c>
      <c r="D80" s="206"/>
      <c r="E80" s="225"/>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322"/>
      <c r="AJ80" s="174">
        <f t="shared" si="14"/>
        <v>0</v>
      </c>
      <c r="AK80" s="152"/>
      <c r="AL80" s="113"/>
      <c r="AM80" s="89"/>
      <c r="AN80" s="89"/>
      <c r="AO80" s="89"/>
      <c r="AP80" s="89"/>
      <c r="AQ80" s="89"/>
      <c r="AR80" s="89"/>
    </row>
    <row r="81" spans="1:44" x14ac:dyDescent="0.2">
      <c r="A81" s="165"/>
      <c r="B81" s="185" t="str">
        <f>ctArbeitsgebiete!J13</f>
        <v>D05</v>
      </c>
      <c r="C81" s="205" t="str">
        <f>IF(ctArbeitsgebiete!K13&lt;&gt;"",ctArbeitsgebiete!K13,"")</f>
        <v/>
      </c>
      <c r="D81" s="206"/>
      <c r="E81" s="913"/>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322"/>
      <c r="AJ81" s="174">
        <f t="shared" si="14"/>
        <v>0</v>
      </c>
      <c r="AK81" s="152"/>
      <c r="AL81" s="113"/>
      <c r="AM81" s="89"/>
      <c r="AN81" s="89"/>
      <c r="AO81" s="89"/>
      <c r="AP81" s="89"/>
      <c r="AQ81" s="89"/>
      <c r="AR81" s="89"/>
    </row>
    <row r="82" spans="1:44" x14ac:dyDescent="0.2">
      <c r="A82" s="165"/>
      <c r="B82" s="185" t="str">
        <f>ctArbeitsgebiete!J14</f>
        <v>D06</v>
      </c>
      <c r="C82" s="205" t="str">
        <f>IF(ctArbeitsgebiete!K14&lt;&gt;"",ctArbeitsgebiete!K14,"")</f>
        <v/>
      </c>
      <c r="D82" s="206"/>
      <c r="E82" s="913"/>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322"/>
      <c r="AJ82" s="174">
        <f t="shared" si="14"/>
        <v>0</v>
      </c>
      <c r="AK82" s="152"/>
      <c r="AL82" s="113"/>
      <c r="AM82" s="89"/>
      <c r="AN82" s="89"/>
      <c r="AO82" s="89"/>
      <c r="AP82" s="89"/>
      <c r="AQ82" s="89"/>
      <c r="AR82" s="89"/>
    </row>
    <row r="83" spans="1:44" x14ac:dyDescent="0.2">
      <c r="A83" s="165"/>
      <c r="B83" s="185" t="str">
        <f>ctArbeitsgebiete!J15</f>
        <v>D07</v>
      </c>
      <c r="C83" s="205" t="str">
        <f>IF(ctArbeitsgebiete!K15&lt;&gt;"",ctArbeitsgebiete!K15,"")</f>
        <v/>
      </c>
      <c r="D83" s="206"/>
      <c r="E83" s="913"/>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322"/>
      <c r="AJ83" s="174">
        <f t="shared" si="14"/>
        <v>0</v>
      </c>
      <c r="AK83" s="152"/>
      <c r="AL83" s="113"/>
      <c r="AM83" s="89"/>
      <c r="AN83" s="89"/>
      <c r="AO83" s="89"/>
      <c r="AP83" s="89"/>
      <c r="AQ83" s="89"/>
      <c r="AR83" s="89"/>
    </row>
    <row r="84" spans="1:44" ht="13.5" thickBot="1" x14ac:dyDescent="0.25">
      <c r="A84" s="165"/>
      <c r="B84" s="189" t="str">
        <f>ctArbeitsgebiete!J16</f>
        <v>D08</v>
      </c>
      <c r="C84" s="207" t="str">
        <f>IF(ctArbeitsgebiete!K16&lt;&gt;"",ctArbeitsgebiete!K16,"")</f>
        <v/>
      </c>
      <c r="D84" s="208"/>
      <c r="E84" s="925"/>
      <c r="F84" s="926"/>
      <c r="G84" s="926"/>
      <c r="H84" s="926"/>
      <c r="I84" s="926"/>
      <c r="J84" s="926"/>
      <c r="K84" s="926"/>
      <c r="L84" s="926"/>
      <c r="M84" s="926"/>
      <c r="N84" s="926"/>
      <c r="O84" s="926"/>
      <c r="P84" s="926"/>
      <c r="Q84" s="926"/>
      <c r="R84" s="926"/>
      <c r="S84" s="926"/>
      <c r="T84" s="926"/>
      <c r="U84" s="926"/>
      <c r="V84" s="926"/>
      <c r="W84" s="926"/>
      <c r="X84" s="926"/>
      <c r="Y84" s="926"/>
      <c r="Z84" s="926"/>
      <c r="AA84" s="926"/>
      <c r="AB84" s="926"/>
      <c r="AC84" s="926"/>
      <c r="AD84" s="926"/>
      <c r="AE84" s="926"/>
      <c r="AF84" s="926"/>
      <c r="AG84" s="926"/>
      <c r="AH84" s="926"/>
      <c r="AI84" s="927"/>
      <c r="AJ84" s="142">
        <f t="shared" si="14"/>
        <v>0</v>
      </c>
      <c r="AK84" s="912"/>
      <c r="AL84" s="113"/>
      <c r="AM84" s="89"/>
      <c r="AN84" s="89"/>
      <c r="AO84" s="89"/>
      <c r="AP84" s="89"/>
      <c r="AQ84" s="89"/>
      <c r="AR84" s="89"/>
    </row>
    <row r="85" spans="1:44" ht="22.5" hidden="1" customHeight="1" outlineLevel="1" thickBot="1" x14ac:dyDescent="0.25">
      <c r="A85" s="8" t="s">
        <v>424</v>
      </c>
      <c r="B85" s="928"/>
      <c r="C85" s="929" t="s">
        <v>433</v>
      </c>
      <c r="D85" s="930"/>
      <c r="E85" s="931">
        <f>IF(AND(E86="JA",E14&gt;=E16),IF(Eingabeblatt!$D$7="JA",(E14-E16)*1.25,E14-E16),IF(AND(E86="JA",Eingabeblatt!$I$10="NEIN"),E14-E16,0))</f>
        <v>0</v>
      </c>
      <c r="F85" s="932">
        <f>IF(AND(F86="JA",F14&gt;=F16),IF(Eingabeblatt!$D$7="JA",(F14-F16)*1.25,F14-F16),IF(AND(F86="JA",Eingabeblatt!$I$10="NEIN"),F14-F16,0))</f>
        <v>0</v>
      </c>
      <c r="G85" s="932">
        <f>IF(AND(G86="JA",G14&gt;=G16),IF(Eingabeblatt!$D$7="JA",(G14-G16)*1.25,G14-G16),IF(AND(G86="JA",Eingabeblatt!$I$10="NEIN"),G14-G16,0))</f>
        <v>0</v>
      </c>
      <c r="H85" s="932">
        <f>IF(AND(H86="JA",H14&gt;=H16),IF(Eingabeblatt!$D$7="JA",(H14-H16)*1.25,H14-H16),IF(AND(H86="JA",Eingabeblatt!$I$10="NEIN"),H14-H16,0))</f>
        <v>0</v>
      </c>
      <c r="I85" s="932">
        <f>IF(AND(I86="JA",I14&gt;=I16),IF(Eingabeblatt!$D$7="JA",(I14-I16)*1.25,I14-I16),IF(AND(I86="JA",Eingabeblatt!$I$10="NEIN"),I14-I16,0))</f>
        <v>0</v>
      </c>
      <c r="J85" s="932">
        <f>IF(AND(J86="JA",J14&gt;=J16),IF(Eingabeblatt!$D$7="JA",(J14-J16)*1.25,J14-J16),IF(AND(J86="JA",Eingabeblatt!$I$10="NEIN"),J14-J16,0))</f>
        <v>0</v>
      </c>
      <c r="K85" s="932">
        <f>IF(AND(K86="JA",K14&gt;=K16),IF(Eingabeblatt!$D$7="JA",(K14-K16)*1.25,K14-K16),IF(AND(K86="JA",Eingabeblatt!$I$10="NEIN"),K14-K16,0))</f>
        <v>0</v>
      </c>
      <c r="L85" s="932">
        <f>IF(AND(L86="JA",L14&gt;=L16),IF(Eingabeblatt!$D$7="JA",(L14-L16)*1.25,L14-L16),IF(AND(L86="JA",Eingabeblatt!$I$10="NEIN"),L14-L16,0))</f>
        <v>0</v>
      </c>
      <c r="M85" s="932">
        <f>IF(AND(M86="JA",M14&gt;=M16),IF(Eingabeblatt!$D$7="JA",(M14-M16)*1.25,M14-M16),IF(AND(M86="JA",Eingabeblatt!$I$10="NEIN"),M14-M16,0))</f>
        <v>0</v>
      </c>
      <c r="N85" s="932">
        <f>IF(AND(N86="JA",N14&gt;=N16),IF(Eingabeblatt!$D$7="JA",(N14-N16)*1.25,N14-N16),IF(AND(N86="JA",Eingabeblatt!$I$10="NEIN"),N14-N16,0))</f>
        <v>0</v>
      </c>
      <c r="O85" s="932">
        <f>IF(AND(O86="JA",O14&gt;=O16),IF(Eingabeblatt!$D$7="JA",(O14-O16)*1.25,O14-O16),IF(AND(O86="JA",Eingabeblatt!$I$10="NEIN"),O14-O16,0))</f>
        <v>0</v>
      </c>
      <c r="P85" s="932">
        <f>IF(AND(P86="JA",P14&gt;=P16),IF(Eingabeblatt!$D$7="JA",(P14-P16)*1.25,P14-P16),IF(AND(P86="JA",Eingabeblatt!$I$10="NEIN"),P14-P16,0))</f>
        <v>0</v>
      </c>
      <c r="Q85" s="932">
        <f>IF(AND(Q86="JA",Q14&gt;=Q16),IF(Eingabeblatt!$D$7="JA",(Q14-Q16)*1.25,Q14-Q16),IF(AND(Q86="JA",Eingabeblatt!$I$10="NEIN"),Q14-Q16,0))</f>
        <v>0</v>
      </c>
      <c r="R85" s="932">
        <f>IF(AND(R86="JA",R14&gt;=R16),IF(Eingabeblatt!$D$7="JA",(R14-R16)*1.25,R14-R16),IF(AND(R86="JA",Eingabeblatt!$I$10="NEIN"),R14-R16,0))</f>
        <v>0</v>
      </c>
      <c r="S85" s="932">
        <f>IF(AND(S86="JA",S14&gt;=S16),IF(Eingabeblatt!$D$7="JA",(S14-S16)*1.25,S14-S16),IF(AND(S86="JA",Eingabeblatt!$I$10="NEIN"),S14-S16,0))</f>
        <v>0</v>
      </c>
      <c r="T85" s="932">
        <f>IF(AND(T86="JA",T14&gt;=T16),IF(Eingabeblatt!$D$7="JA",(T14-T16)*1.25,T14-T16),IF(AND(T86="JA",Eingabeblatt!$I$10="NEIN"),T14-T16,0))</f>
        <v>0</v>
      </c>
      <c r="U85" s="932">
        <f>IF(AND(U86="JA",U14&gt;=U16),IF(Eingabeblatt!$D$7="JA",(U14-U16)*1.25,U14-U16),IF(AND(U86="JA",Eingabeblatt!$I$10="NEIN"),U14-U16,0))</f>
        <v>0</v>
      </c>
      <c r="V85" s="932">
        <f>IF(AND(V86="JA",V14&gt;=V16),IF(Eingabeblatt!$D$7="JA",(V14-V16)*1.25,V14-V16),IF(AND(V86="JA",Eingabeblatt!$I$10="NEIN"),V14-V16,0))</f>
        <v>0</v>
      </c>
      <c r="W85" s="932">
        <f>IF(AND(W86="JA",W14&gt;=W16),IF(Eingabeblatt!$D$7="JA",(W14-W16)*1.25,W14-W16),IF(AND(W86="JA",Eingabeblatt!$I$10="NEIN"),W14-W16,0))</f>
        <v>0</v>
      </c>
      <c r="X85" s="932">
        <f>IF(AND(X86="JA",X14&gt;=X16),IF(Eingabeblatt!$D$7="JA",(X14-X16)*1.25,X14-X16),IF(AND(X86="JA",Eingabeblatt!$I$10="NEIN"),X14-X16,0))</f>
        <v>0</v>
      </c>
      <c r="Y85" s="932">
        <f>IF(AND(Y86="JA",Y14&gt;=Y16),IF(Eingabeblatt!$D$7="JA",(Y14-Y16)*1.25,Y14-Y16),IF(AND(Y86="JA",Eingabeblatt!$I$10="NEIN"),Y14-Y16,0))</f>
        <v>0</v>
      </c>
      <c r="Z85" s="932">
        <f>IF(AND(Z86="JA",Z14&gt;=Z16),IF(Eingabeblatt!$D$7="JA",(Z14-Z16)*1.25,Z14-Z16),IF(AND(Z86="JA",Eingabeblatt!$I$10="NEIN"),Z14-Z16,0))</f>
        <v>0</v>
      </c>
      <c r="AA85" s="932">
        <f>IF(AND(AA86="JA",AA14&gt;=AA16),IF(Eingabeblatt!$D$7="JA",(AA14-AA16)*1.25,AA14-AA16),IF(AND(AA86="JA",Eingabeblatt!$I$10="NEIN"),AA14-AA16,0))</f>
        <v>0</v>
      </c>
      <c r="AB85" s="932">
        <f>IF(AND(AB86="JA",AB14&gt;=AB16),IF(Eingabeblatt!$D$7="JA",(AB14-AB16)*1.25,AB14-AB16),IF(AND(AB86="JA",Eingabeblatt!$I$10="NEIN"),AB14-AB16,0))</f>
        <v>0</v>
      </c>
      <c r="AC85" s="932">
        <f>IF(AND(AC86="JA",AC14&gt;=AC16),IF(Eingabeblatt!$D$7="JA",(AC14-AC16)*1.25,AC14-AC16),IF(AND(AC86="JA",Eingabeblatt!$I$10="NEIN"),AC14-AC16,0))</f>
        <v>0</v>
      </c>
      <c r="AD85" s="932">
        <f>IF(AND(AD86="JA",AD14&gt;=AD16),IF(Eingabeblatt!$D$7="JA",(AD14-AD16)*1.25,AD14-AD16),IF(AND(AD86="JA",Eingabeblatt!$I$10="NEIN"),AD14-AD16,0))</f>
        <v>0</v>
      </c>
      <c r="AE85" s="932">
        <f>IF(AND(AE86="JA",AE14&gt;=AE16),IF(Eingabeblatt!$D$7="JA",(AE14-AE16)*1.25,AE14-AE16),IF(AND(AE86="JA",Eingabeblatt!$I$10="NEIN"),AE14-AE16,0))</f>
        <v>0</v>
      </c>
      <c r="AF85" s="932">
        <f>IF(AND(AF86="JA",AF14&gt;=AF16),IF(Eingabeblatt!$D$7="JA",(AF14-AF16)*1.25,AF14-AF16),IF(AND(AF86="JA",Eingabeblatt!$I$10="NEIN"),AF14-AF16,0))</f>
        <v>0</v>
      </c>
      <c r="AG85" s="932">
        <f>IF(AND(AG86="JA",AG14&gt;=AG16),IF(Eingabeblatt!$D$7="JA",(AG14-AG16)*1.25,AG14-AG16),IF(AND(AG86="JA",Eingabeblatt!$I$10="NEIN"),AG14-AG16,0))</f>
        <v>0</v>
      </c>
      <c r="AH85" s="932">
        <f>IF(AND(AH86="JA",AH14&gt;=AH16),IF(Eingabeblatt!$D$7="JA",(AH14-AH16)*1.25,AH14-AH16),IF(AND(AH86="JA",Eingabeblatt!$I$10="NEIN"),AH14-AH16,0))</f>
        <v>0</v>
      </c>
      <c r="AI85" s="933">
        <f>IF(AND(AI86="JA",AI14&gt;=AI16),IF(Eingabeblatt!$D$7="JA",(AI14-AI16)*1.25,AI14-AI16),IF(AND(AI86="JA",Eingabeblatt!$I$10="NEIN"),AI14-AI16,0))</f>
        <v>0</v>
      </c>
      <c r="AJ85" s="1081">
        <f>SUM(E85:AI85)</f>
        <v>0</v>
      </c>
      <c r="AK85" s="990">
        <f>ROUND(B85+D85+AJ85,8)</f>
        <v>0</v>
      </c>
      <c r="AL85" s="141" t="s">
        <v>434</v>
      </c>
      <c r="AM85" s="91"/>
      <c r="AN85" s="113"/>
      <c r="AO85" s="692" t="s">
        <v>427</v>
      </c>
      <c r="AP85" s="89"/>
      <c r="AQ85" s="89"/>
      <c r="AR85" s="89"/>
    </row>
    <row r="86" spans="1:44" ht="15" hidden="1" customHeight="1" outlineLevel="1" x14ac:dyDescent="0.2">
      <c r="A86" s="8" t="s">
        <v>424</v>
      </c>
      <c r="B86" s="934"/>
      <c r="C86" s="935" t="s">
        <v>435</v>
      </c>
      <c r="D86" s="936"/>
      <c r="E86" s="937" t="s">
        <v>436</v>
      </c>
      <c r="F86" s="938" t="s">
        <v>436</v>
      </c>
      <c r="G86" s="938" t="s">
        <v>436</v>
      </c>
      <c r="H86" s="938" t="s">
        <v>436</v>
      </c>
      <c r="I86" s="938" t="s">
        <v>436</v>
      </c>
      <c r="J86" s="938" t="s">
        <v>436</v>
      </c>
      <c r="K86" s="938" t="s">
        <v>436</v>
      </c>
      <c r="L86" s="938" t="s">
        <v>436</v>
      </c>
      <c r="M86" s="938" t="s">
        <v>436</v>
      </c>
      <c r="N86" s="938" t="s">
        <v>436</v>
      </c>
      <c r="O86" s="938" t="s">
        <v>436</v>
      </c>
      <c r="P86" s="938" t="s">
        <v>436</v>
      </c>
      <c r="Q86" s="938" t="s">
        <v>436</v>
      </c>
      <c r="R86" s="938" t="s">
        <v>436</v>
      </c>
      <c r="S86" s="938" t="s">
        <v>436</v>
      </c>
      <c r="T86" s="938" t="s">
        <v>436</v>
      </c>
      <c r="U86" s="938" t="s">
        <v>436</v>
      </c>
      <c r="V86" s="938" t="s">
        <v>436</v>
      </c>
      <c r="W86" s="938" t="s">
        <v>436</v>
      </c>
      <c r="X86" s="938" t="s">
        <v>436</v>
      </c>
      <c r="Y86" s="938" t="s">
        <v>436</v>
      </c>
      <c r="Z86" s="938" t="s">
        <v>436</v>
      </c>
      <c r="AA86" s="938" t="s">
        <v>436</v>
      </c>
      <c r="AB86" s="938" t="s">
        <v>436</v>
      </c>
      <c r="AC86" s="938" t="s">
        <v>436</v>
      </c>
      <c r="AD86" s="938" t="s">
        <v>436</v>
      </c>
      <c r="AE86" s="938" t="s">
        <v>436</v>
      </c>
      <c r="AF86" s="938" t="s">
        <v>436</v>
      </c>
      <c r="AG86" s="938" t="s">
        <v>436</v>
      </c>
      <c r="AH86" s="938" t="s">
        <v>436</v>
      </c>
      <c r="AI86" s="939" t="s">
        <v>436</v>
      </c>
      <c r="AK86" s="210"/>
      <c r="AL86" s="141" t="s">
        <v>437</v>
      </c>
      <c r="AM86" s="89"/>
      <c r="AN86" s="113"/>
      <c r="AO86" s="692" t="s">
        <v>427</v>
      </c>
      <c r="AP86" s="89"/>
      <c r="AQ86" s="89"/>
      <c r="AR86" s="89"/>
    </row>
    <row r="87" spans="1:44" ht="15" hidden="1" customHeight="1" outlineLevel="1" x14ac:dyDescent="0.2">
      <c r="A87" s="8" t="s">
        <v>424</v>
      </c>
      <c r="B87" s="934"/>
      <c r="C87" s="934" t="str">
        <f>"Zuschlagsber. = " &amp; Eingabeblatt!$D$7</f>
        <v>Zuschlagsber. = NEIN</v>
      </c>
      <c r="D87" s="936"/>
      <c r="E87" s="940"/>
      <c r="F87" s="941"/>
      <c r="G87" s="941"/>
      <c r="H87" s="941"/>
      <c r="I87" s="941"/>
      <c r="J87" s="941"/>
      <c r="K87" s="941"/>
      <c r="L87" s="941"/>
      <c r="M87" s="941"/>
      <c r="N87" s="941"/>
      <c r="O87" s="941"/>
      <c r="P87" s="941"/>
      <c r="Q87" s="941"/>
      <c r="R87" s="941"/>
      <c r="S87" s="941"/>
      <c r="T87" s="941"/>
      <c r="U87" s="941"/>
      <c r="V87" s="941"/>
      <c r="W87" s="941"/>
      <c r="X87" s="941"/>
      <c r="Y87" s="941"/>
      <c r="Z87" s="941"/>
      <c r="AA87" s="941"/>
      <c r="AB87" s="941"/>
      <c r="AC87" s="941"/>
      <c r="AD87" s="941"/>
      <c r="AE87" s="941"/>
      <c r="AF87" s="941"/>
      <c r="AG87" s="941"/>
      <c r="AH87" s="941"/>
      <c r="AI87" s="942"/>
      <c r="AK87" s="210"/>
      <c r="AL87" s="113"/>
      <c r="AM87" s="113"/>
      <c r="AN87" s="113"/>
      <c r="AO87" s="692" t="s">
        <v>427</v>
      </c>
      <c r="AP87" s="89"/>
      <c r="AQ87" s="89"/>
      <c r="AR87" s="89"/>
    </row>
    <row r="88" spans="1:44" hidden="1" outlineLevel="1" collapsed="1" x14ac:dyDescent="0.2">
      <c r="E88" s="323"/>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5"/>
      <c r="AK88" s="211"/>
      <c r="AL88" s="113"/>
      <c r="AM88" s="89"/>
      <c r="AN88" s="113"/>
      <c r="AO88" s="89"/>
      <c r="AP88" s="89"/>
      <c r="AQ88" s="89"/>
      <c r="AR88" s="89"/>
    </row>
    <row r="89" spans="1:44" ht="12.75" hidden="1" customHeight="1" outlineLevel="1" x14ac:dyDescent="0.2">
      <c r="C89" s="212"/>
      <c r="E89" s="326"/>
      <c r="F89" s="324"/>
      <c r="G89" s="324"/>
      <c r="H89" s="324"/>
      <c r="I89" s="324"/>
      <c r="J89" s="324"/>
      <c r="K89" s="324"/>
      <c r="L89" s="324"/>
      <c r="M89" s="324"/>
      <c r="N89" s="324" t="s">
        <v>438</v>
      </c>
      <c r="O89" s="324"/>
      <c r="P89" s="324"/>
      <c r="Q89" s="324"/>
      <c r="R89" s="324"/>
      <c r="S89" s="324"/>
      <c r="T89" s="324"/>
      <c r="U89" s="324"/>
      <c r="V89" s="324"/>
      <c r="W89" s="324"/>
      <c r="X89" s="324"/>
      <c r="Y89" s="324"/>
      <c r="Z89" s="324"/>
      <c r="AA89" s="324"/>
      <c r="AB89" s="324"/>
      <c r="AC89" s="324"/>
      <c r="AD89" s="324"/>
      <c r="AE89" s="324"/>
      <c r="AF89" s="324"/>
      <c r="AG89" s="324"/>
      <c r="AH89" s="324"/>
      <c r="AI89" s="325"/>
      <c r="AK89" s="210"/>
      <c r="AL89" s="113"/>
      <c r="AM89" s="89"/>
      <c r="AN89" s="89"/>
      <c r="AO89" s="89"/>
      <c r="AP89" s="89"/>
      <c r="AQ89" s="89"/>
      <c r="AR89" s="89"/>
    </row>
    <row r="90" spans="1:44" ht="28.5" hidden="1" customHeight="1" outlineLevel="1" x14ac:dyDescent="0.2">
      <c r="C90" s="213" t="s">
        <v>439</v>
      </c>
      <c r="E90" s="326"/>
      <c r="F90" s="324"/>
      <c r="G90" s="324"/>
      <c r="H90" s="324"/>
      <c r="I90" s="324"/>
      <c r="J90" s="324"/>
      <c r="K90" s="327"/>
      <c r="L90" s="327"/>
      <c r="M90" s="327"/>
      <c r="N90" s="324"/>
      <c r="O90" s="324"/>
      <c r="P90" s="324"/>
      <c r="Q90" s="324"/>
      <c r="R90" s="324"/>
      <c r="S90" s="324"/>
      <c r="T90" s="324"/>
      <c r="U90" s="324"/>
      <c r="V90" s="324"/>
      <c r="W90" s="324"/>
      <c r="X90" s="324"/>
      <c r="Y90" s="324"/>
      <c r="Z90" s="324"/>
      <c r="AA90" s="324"/>
      <c r="AB90" s="324"/>
      <c r="AC90" s="324"/>
      <c r="AD90" s="324"/>
      <c r="AE90" s="324"/>
      <c r="AF90" s="324"/>
      <c r="AG90" s="324"/>
      <c r="AH90" s="324"/>
      <c r="AI90" s="325"/>
      <c r="AK90" s="210"/>
      <c r="AL90" s="113"/>
      <c r="AM90" s="89"/>
      <c r="AN90" s="89"/>
      <c r="AO90" s="89"/>
      <c r="AP90" s="89"/>
      <c r="AQ90" s="89"/>
      <c r="AR90" s="89"/>
    </row>
    <row r="91" spans="1:44" ht="28.5" hidden="1" customHeight="1" outlineLevel="1" thickBot="1" x14ac:dyDescent="0.3">
      <c r="C91" s="214" t="s">
        <v>440</v>
      </c>
      <c r="D91" s="215"/>
      <c r="E91" s="236"/>
      <c r="F91" s="327"/>
      <c r="G91" s="327"/>
      <c r="H91" s="327"/>
      <c r="I91" s="327"/>
      <c r="J91" s="327"/>
      <c r="K91" s="327"/>
      <c r="L91" s="327"/>
      <c r="M91" s="327"/>
      <c r="N91" s="327"/>
      <c r="O91" s="327"/>
      <c r="P91" s="327"/>
      <c r="Q91" s="327"/>
      <c r="R91" s="327"/>
      <c r="S91" s="327"/>
      <c r="T91" s="327"/>
      <c r="U91" s="328" t="s">
        <v>441</v>
      </c>
      <c r="V91" s="327"/>
      <c r="W91" s="327"/>
      <c r="X91" s="327"/>
      <c r="Y91" s="327"/>
      <c r="Z91" s="327"/>
      <c r="AA91" s="327"/>
      <c r="AB91" s="327"/>
      <c r="AC91" s="327"/>
      <c r="AD91" s="327"/>
      <c r="AE91" s="327"/>
      <c r="AF91" s="328" t="s">
        <v>442</v>
      </c>
      <c r="AG91" s="327"/>
      <c r="AH91" s="943"/>
      <c r="AI91" s="329"/>
      <c r="AJ91" s="88"/>
      <c r="AK91" s="216"/>
      <c r="AL91" s="113"/>
      <c r="AM91" s="89"/>
      <c r="AN91" s="89"/>
      <c r="AO91" s="89"/>
      <c r="AP91" s="89"/>
      <c r="AQ91" s="89"/>
      <c r="AR91" s="89"/>
    </row>
    <row r="92" spans="1:44" ht="28.5" hidden="1" customHeight="1" outlineLevel="1" thickBot="1" x14ac:dyDescent="0.25">
      <c r="C92" s="217" t="s">
        <v>443</v>
      </c>
      <c r="E92" s="326"/>
      <c r="F92" s="324"/>
      <c r="G92" s="324"/>
      <c r="H92" s="324"/>
      <c r="I92" s="330"/>
      <c r="J92" s="324"/>
      <c r="K92" s="327"/>
      <c r="L92" s="327"/>
      <c r="M92" s="327"/>
      <c r="N92" s="324"/>
      <c r="O92" s="324"/>
      <c r="P92" s="324"/>
      <c r="Q92" s="324"/>
      <c r="R92" s="324"/>
      <c r="S92" s="324"/>
      <c r="T92" s="324"/>
      <c r="U92" s="324"/>
      <c r="V92" s="324"/>
      <c r="W92" s="324"/>
      <c r="X92" s="324"/>
      <c r="Y92" s="324"/>
      <c r="Z92" s="324"/>
      <c r="AA92" s="324"/>
      <c r="AB92" s="324"/>
      <c r="AC92" s="324"/>
      <c r="AD92" s="324"/>
      <c r="AE92" s="324"/>
      <c r="AF92" s="324"/>
      <c r="AG92" s="324"/>
      <c r="AH92" s="324"/>
      <c r="AI92" s="325"/>
      <c r="AK92" s="210"/>
      <c r="AL92" s="113"/>
      <c r="AM92" s="89"/>
      <c r="AN92" s="89"/>
      <c r="AO92" s="89"/>
      <c r="AP92" s="89"/>
      <c r="AQ92" s="89"/>
      <c r="AR92" s="89"/>
    </row>
    <row r="93" spans="1:44" hidden="1" outlineLevel="1" x14ac:dyDescent="0.2">
      <c r="E93" s="326"/>
      <c r="F93" s="324"/>
      <c r="G93" s="324"/>
      <c r="H93" s="324"/>
      <c r="I93" s="324"/>
      <c r="J93" s="324"/>
      <c r="K93" s="324"/>
      <c r="L93" s="324"/>
      <c r="M93" s="324"/>
      <c r="N93" s="324"/>
      <c r="O93" s="324"/>
      <c r="P93" s="324"/>
      <c r="Q93" s="324"/>
      <c r="R93" s="324"/>
      <c r="S93" s="324"/>
      <c r="T93" s="324"/>
      <c r="U93" s="324"/>
      <c r="V93" s="324"/>
      <c r="W93" s="324"/>
      <c r="X93" s="324"/>
      <c r="Y93" s="324"/>
      <c r="Z93" s="324"/>
      <c r="AA93" s="324"/>
      <c r="AB93" s="324"/>
      <c r="AC93" s="324"/>
      <c r="AD93" s="324"/>
      <c r="AE93" s="324"/>
      <c r="AF93" s="324"/>
      <c r="AG93" s="324"/>
      <c r="AH93" s="324"/>
      <c r="AI93" s="325"/>
      <c r="AK93" s="210"/>
    </row>
    <row r="94" spans="1:44" collapsed="1" x14ac:dyDescent="0.2">
      <c r="A94" s="165"/>
      <c r="B94" s="185"/>
      <c r="C94" s="340" t="str">
        <f>IF(ctArbeitsgebiete!H20&lt;&gt;"",ctArbeitsgebiete!H20,"")</f>
        <v/>
      </c>
      <c r="D94" s="334"/>
      <c r="E94" s="944"/>
      <c r="F94" s="945"/>
      <c r="G94" s="945"/>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6"/>
      <c r="AJ94" s="1082">
        <f>SUM(E94:AI94)</f>
        <v>0</v>
      </c>
      <c r="AK94" s="152"/>
      <c r="AL94" s="113"/>
      <c r="AM94" s="89"/>
      <c r="AN94" s="89"/>
      <c r="AO94" s="89"/>
      <c r="AP94" s="89"/>
      <c r="AQ94" s="89"/>
      <c r="AR94" s="89"/>
    </row>
    <row r="95" spans="1:44" x14ac:dyDescent="0.2">
      <c r="A95" s="165"/>
      <c r="B95" s="185"/>
      <c r="C95" s="340" t="str">
        <f>IF(ctArbeitsgebiete!H21&lt;&gt;"",ctArbeitsgebiete!H21,"")</f>
        <v/>
      </c>
      <c r="D95" s="334"/>
      <c r="E95" s="944"/>
      <c r="F95" s="945"/>
      <c r="G95" s="945"/>
      <c r="H95" s="945"/>
      <c r="I95" s="945"/>
      <c r="J95" s="945"/>
      <c r="K95" s="945"/>
      <c r="L95" s="945"/>
      <c r="M95" s="945"/>
      <c r="N95" s="945"/>
      <c r="O95" s="945"/>
      <c r="P95" s="945"/>
      <c r="Q95" s="945"/>
      <c r="R95" s="945"/>
      <c r="S95" s="945"/>
      <c r="T95" s="945"/>
      <c r="U95" s="945"/>
      <c r="V95" s="945"/>
      <c r="W95" s="945"/>
      <c r="X95" s="945"/>
      <c r="Y95" s="945"/>
      <c r="Z95" s="945"/>
      <c r="AA95" s="945"/>
      <c r="AB95" s="945"/>
      <c r="AC95" s="945"/>
      <c r="AD95" s="945"/>
      <c r="AE95" s="945"/>
      <c r="AF95" s="945"/>
      <c r="AG95" s="945"/>
      <c r="AH95" s="945"/>
      <c r="AI95" s="946"/>
      <c r="AJ95" s="338">
        <f t="shared" ref="AJ95:AJ105" si="15">SUM(E95:AI95)</f>
        <v>0</v>
      </c>
      <c r="AK95" s="152"/>
      <c r="AL95" s="113"/>
      <c r="AM95" s="89"/>
      <c r="AN95" s="89"/>
      <c r="AO95" s="89"/>
      <c r="AP95" s="89"/>
      <c r="AQ95" s="89"/>
      <c r="AR95" s="89"/>
    </row>
    <row r="96" spans="1:44" x14ac:dyDescent="0.2">
      <c r="A96" s="165"/>
      <c r="B96" s="185"/>
      <c r="C96" s="340" t="str">
        <f>IF(ctArbeitsgebiete!H22&lt;&gt;"",ctArbeitsgebiete!H22,"")</f>
        <v/>
      </c>
      <c r="D96" s="334"/>
      <c r="E96" s="944"/>
      <c r="F96" s="945"/>
      <c r="G96" s="945"/>
      <c r="H96" s="945"/>
      <c r="I96" s="945"/>
      <c r="J96" s="945"/>
      <c r="K96" s="945"/>
      <c r="L96" s="945"/>
      <c r="M96" s="945"/>
      <c r="N96" s="945"/>
      <c r="O96" s="945"/>
      <c r="P96" s="945"/>
      <c r="Q96" s="945"/>
      <c r="R96" s="945"/>
      <c r="S96" s="945"/>
      <c r="T96" s="945"/>
      <c r="U96" s="945"/>
      <c r="V96" s="945"/>
      <c r="W96" s="945"/>
      <c r="X96" s="945"/>
      <c r="Y96" s="945"/>
      <c r="Z96" s="945"/>
      <c r="AA96" s="945"/>
      <c r="AB96" s="945"/>
      <c r="AC96" s="945"/>
      <c r="AD96" s="945"/>
      <c r="AE96" s="945"/>
      <c r="AF96" s="945"/>
      <c r="AG96" s="945"/>
      <c r="AH96" s="945"/>
      <c r="AI96" s="946"/>
      <c r="AJ96" s="338">
        <f t="shared" si="15"/>
        <v>0</v>
      </c>
      <c r="AK96" s="152"/>
      <c r="AL96" s="113"/>
      <c r="AM96" s="89"/>
      <c r="AN96" s="89"/>
      <c r="AO96" s="89"/>
      <c r="AP96" s="89"/>
      <c r="AQ96" s="89"/>
      <c r="AR96" s="89"/>
    </row>
    <row r="97" spans="1:44" x14ac:dyDescent="0.2">
      <c r="A97" s="165"/>
      <c r="B97" s="185"/>
      <c r="C97" s="340" t="str">
        <f>IF(ctArbeitsgebiete!H23&lt;&gt;"",ctArbeitsgebiete!H23,"")</f>
        <v/>
      </c>
      <c r="D97" s="334"/>
      <c r="E97" s="944"/>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6"/>
      <c r="AJ97" s="338">
        <f t="shared" si="15"/>
        <v>0</v>
      </c>
      <c r="AK97" s="152"/>
      <c r="AL97" s="113"/>
      <c r="AM97" s="89"/>
      <c r="AN97" s="89"/>
      <c r="AO97" s="89"/>
      <c r="AP97" s="89"/>
      <c r="AQ97" s="89"/>
      <c r="AR97" s="89"/>
    </row>
    <row r="98" spans="1:44" x14ac:dyDescent="0.2">
      <c r="A98" s="165"/>
      <c r="B98" s="185"/>
      <c r="C98" s="340" t="str">
        <f>IF(ctArbeitsgebiete!H24&lt;&gt;"",ctArbeitsgebiete!H24,"")</f>
        <v/>
      </c>
      <c r="D98" s="334"/>
      <c r="E98" s="944"/>
      <c r="F98" s="945"/>
      <c r="G98" s="945"/>
      <c r="H98" s="945"/>
      <c r="I98" s="945"/>
      <c r="J98" s="945"/>
      <c r="K98" s="945"/>
      <c r="L98" s="945"/>
      <c r="M98" s="945"/>
      <c r="N98" s="945"/>
      <c r="O98" s="945"/>
      <c r="P98" s="945"/>
      <c r="Q98" s="945"/>
      <c r="R98" s="945"/>
      <c r="S98" s="945"/>
      <c r="T98" s="945"/>
      <c r="U98" s="945"/>
      <c r="V98" s="945"/>
      <c r="W98" s="945"/>
      <c r="X98" s="945"/>
      <c r="Y98" s="945"/>
      <c r="Z98" s="945"/>
      <c r="AA98" s="945"/>
      <c r="AB98" s="945"/>
      <c r="AC98" s="945"/>
      <c r="AD98" s="945"/>
      <c r="AE98" s="945"/>
      <c r="AF98" s="945"/>
      <c r="AG98" s="945"/>
      <c r="AH98" s="945"/>
      <c r="AI98" s="946"/>
      <c r="AJ98" s="338">
        <f t="shared" si="15"/>
        <v>0</v>
      </c>
      <c r="AK98" s="152"/>
      <c r="AL98" s="113"/>
      <c r="AM98" s="89"/>
      <c r="AN98" s="89"/>
      <c r="AO98" s="89"/>
      <c r="AP98" s="89"/>
      <c r="AQ98" s="89"/>
      <c r="AR98" s="89"/>
    </row>
    <row r="99" spans="1:44" x14ac:dyDescent="0.2">
      <c r="A99" s="165"/>
      <c r="B99" s="185"/>
      <c r="C99" s="340" t="str">
        <f>IF(ctArbeitsgebiete!H25&lt;&gt;"",ctArbeitsgebiete!H25,"")</f>
        <v/>
      </c>
      <c r="D99" s="334"/>
      <c r="E99" s="944"/>
      <c r="F99" s="945"/>
      <c r="G99" s="945"/>
      <c r="H99" s="945"/>
      <c r="I99" s="945"/>
      <c r="J99" s="945"/>
      <c r="K99" s="945"/>
      <c r="L99" s="945"/>
      <c r="M99" s="945"/>
      <c r="N99" s="945"/>
      <c r="O99" s="945"/>
      <c r="P99" s="945"/>
      <c r="Q99" s="945"/>
      <c r="R99" s="945"/>
      <c r="S99" s="945"/>
      <c r="T99" s="945"/>
      <c r="U99" s="945"/>
      <c r="V99" s="945"/>
      <c r="W99" s="945"/>
      <c r="X99" s="945"/>
      <c r="Y99" s="945"/>
      <c r="Z99" s="945"/>
      <c r="AA99" s="945"/>
      <c r="AB99" s="945"/>
      <c r="AC99" s="945"/>
      <c r="AD99" s="945"/>
      <c r="AE99" s="945"/>
      <c r="AF99" s="945"/>
      <c r="AG99" s="945"/>
      <c r="AH99" s="945"/>
      <c r="AI99" s="946"/>
      <c r="AJ99" s="338">
        <f t="shared" si="15"/>
        <v>0</v>
      </c>
      <c r="AK99" s="152"/>
      <c r="AL99" s="113"/>
      <c r="AM99" s="89"/>
      <c r="AN99" s="89"/>
      <c r="AO99" s="89"/>
      <c r="AP99" s="89"/>
      <c r="AQ99" s="89"/>
      <c r="AR99" s="89"/>
    </row>
    <row r="100" spans="1:44" x14ac:dyDescent="0.2">
      <c r="A100" s="165"/>
      <c r="B100" s="185"/>
      <c r="C100" s="340" t="str">
        <f>IF(ctArbeitsgebiete!H26&lt;&gt;"",ctArbeitsgebiete!H26,"")</f>
        <v/>
      </c>
      <c r="D100" s="334"/>
      <c r="E100" s="944"/>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B100" s="945"/>
      <c r="AC100" s="945"/>
      <c r="AD100" s="945"/>
      <c r="AE100" s="945"/>
      <c r="AF100" s="945"/>
      <c r="AG100" s="945"/>
      <c r="AH100" s="945"/>
      <c r="AI100" s="946"/>
      <c r="AJ100" s="338">
        <f t="shared" si="15"/>
        <v>0</v>
      </c>
      <c r="AK100" s="152"/>
      <c r="AL100" s="113"/>
      <c r="AM100" s="89"/>
      <c r="AN100" s="89"/>
      <c r="AO100" s="89"/>
      <c r="AP100" s="89"/>
      <c r="AQ100" s="89"/>
      <c r="AR100" s="89"/>
    </row>
    <row r="101" spans="1:44" x14ac:dyDescent="0.2">
      <c r="A101" s="165"/>
      <c r="B101" s="185"/>
      <c r="C101" s="345" t="str">
        <f>IF(ctArbeitsgebiete!H27&lt;&gt;"",ctArbeitsgebiete!H27,"")</f>
        <v/>
      </c>
      <c r="D101" s="346"/>
      <c r="E101" s="947"/>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9"/>
      <c r="AJ101" s="347">
        <f t="shared" si="15"/>
        <v>0</v>
      </c>
      <c r="AK101" s="152"/>
      <c r="AL101" s="113"/>
      <c r="AM101" s="89"/>
      <c r="AN101" s="89"/>
      <c r="AO101" s="89"/>
      <c r="AP101" s="89"/>
      <c r="AQ101" s="89"/>
      <c r="AR101" s="89"/>
    </row>
    <row r="102" spans="1:44" x14ac:dyDescent="0.2">
      <c r="A102" s="165"/>
      <c r="B102" s="185"/>
      <c r="C102" s="992" t="str">
        <f>IF(ctArbeitsgebiete!E24&lt;&gt;"",ctArbeitsgebiete!E24,"")</f>
        <v/>
      </c>
      <c r="D102" s="1083"/>
      <c r="E102" s="1084"/>
      <c r="F102" s="1085"/>
      <c r="G102" s="1085"/>
      <c r="H102" s="1085"/>
      <c r="I102" s="1085"/>
      <c r="J102" s="1085"/>
      <c r="K102" s="1085"/>
      <c r="L102" s="1085"/>
      <c r="M102" s="1085"/>
      <c r="N102" s="1085"/>
      <c r="O102" s="1085"/>
      <c r="P102" s="1085"/>
      <c r="Q102" s="1085"/>
      <c r="R102" s="1085"/>
      <c r="S102" s="1085"/>
      <c r="T102" s="1085"/>
      <c r="U102" s="1085"/>
      <c r="V102" s="1085"/>
      <c r="W102" s="1085"/>
      <c r="X102" s="1085"/>
      <c r="Y102" s="1085"/>
      <c r="Z102" s="1085"/>
      <c r="AA102" s="1085"/>
      <c r="AB102" s="1085"/>
      <c r="AC102" s="1085"/>
      <c r="AD102" s="1085"/>
      <c r="AE102" s="1085"/>
      <c r="AF102" s="1085"/>
      <c r="AG102" s="1085"/>
      <c r="AH102" s="1085"/>
      <c r="AI102" s="1086"/>
      <c r="AJ102" s="1087">
        <f t="shared" si="15"/>
        <v>0</v>
      </c>
      <c r="AK102" s="152"/>
      <c r="AL102" s="113"/>
      <c r="AM102" s="89"/>
      <c r="AN102" s="89"/>
      <c r="AO102" s="89"/>
      <c r="AP102" s="89"/>
      <c r="AQ102" s="89"/>
      <c r="AR102" s="89"/>
    </row>
    <row r="103" spans="1:44" x14ac:dyDescent="0.2">
      <c r="A103" s="165"/>
      <c r="B103" s="185"/>
      <c r="C103" s="342" t="str">
        <f>IF(ctArbeitsgebiete!E25&lt;&gt;"",ctArbeitsgebiete!E25,"")</f>
        <v/>
      </c>
      <c r="D103" s="341"/>
      <c r="E103" s="944"/>
      <c r="F103" s="945"/>
      <c r="G103" s="945"/>
      <c r="H103" s="945"/>
      <c r="I103" s="945"/>
      <c r="J103" s="945"/>
      <c r="K103" s="945"/>
      <c r="L103" s="945"/>
      <c r="M103" s="945"/>
      <c r="N103" s="945"/>
      <c r="O103" s="945"/>
      <c r="P103" s="945"/>
      <c r="Q103" s="945"/>
      <c r="R103" s="945"/>
      <c r="S103" s="945"/>
      <c r="T103" s="945"/>
      <c r="U103" s="945"/>
      <c r="V103" s="945"/>
      <c r="W103" s="945"/>
      <c r="X103" s="945"/>
      <c r="Y103" s="945"/>
      <c r="Z103" s="945"/>
      <c r="AA103" s="945"/>
      <c r="AB103" s="945"/>
      <c r="AC103" s="945"/>
      <c r="AD103" s="945"/>
      <c r="AE103" s="945"/>
      <c r="AF103" s="945"/>
      <c r="AG103" s="945"/>
      <c r="AH103" s="945"/>
      <c r="AI103" s="946"/>
      <c r="AJ103" s="343">
        <f t="shared" si="15"/>
        <v>0</v>
      </c>
      <c r="AK103" s="152"/>
      <c r="AL103" s="113"/>
      <c r="AM103" s="89"/>
      <c r="AN103" s="89"/>
      <c r="AO103" s="89"/>
      <c r="AP103" s="89"/>
      <c r="AQ103" s="89"/>
      <c r="AR103" s="89"/>
    </row>
    <row r="104" spans="1:44" x14ac:dyDescent="0.2">
      <c r="A104" s="165"/>
      <c r="B104" s="185"/>
      <c r="C104" s="342" t="str">
        <f>IF(ctArbeitsgebiete!E26&lt;&gt;"",ctArbeitsgebiete!E26,"")</f>
        <v/>
      </c>
      <c r="D104" s="341"/>
      <c r="E104" s="944"/>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B104" s="945"/>
      <c r="AC104" s="945"/>
      <c r="AD104" s="945"/>
      <c r="AE104" s="945"/>
      <c r="AF104" s="945"/>
      <c r="AG104" s="945"/>
      <c r="AH104" s="945"/>
      <c r="AI104" s="946"/>
      <c r="AJ104" s="343">
        <f t="shared" si="15"/>
        <v>0</v>
      </c>
      <c r="AK104" s="152"/>
      <c r="AL104" s="113"/>
      <c r="AM104" s="89"/>
      <c r="AN104" s="89"/>
      <c r="AO104" s="89"/>
      <c r="AP104" s="89"/>
      <c r="AQ104" s="89"/>
      <c r="AR104" s="89"/>
    </row>
    <row r="105" spans="1:44" ht="13.5" thickBot="1" x14ac:dyDescent="0.25">
      <c r="A105" s="165"/>
      <c r="B105" s="185"/>
      <c r="C105" s="342" t="str">
        <f>IF(ctArbeitsgebiete!E27&lt;&gt;"",ctArbeitsgebiete!E27,"")</f>
        <v/>
      </c>
      <c r="D105" s="341"/>
      <c r="E105" s="950"/>
      <c r="F105" s="951"/>
      <c r="G105" s="951"/>
      <c r="H105" s="951"/>
      <c r="I105" s="951"/>
      <c r="J105" s="951"/>
      <c r="K105" s="951"/>
      <c r="L105" s="951"/>
      <c r="M105" s="951"/>
      <c r="N105" s="951"/>
      <c r="O105" s="951"/>
      <c r="P105" s="951"/>
      <c r="Q105" s="951"/>
      <c r="R105" s="951"/>
      <c r="S105" s="951"/>
      <c r="T105" s="951"/>
      <c r="U105" s="951"/>
      <c r="V105" s="951"/>
      <c r="W105" s="951"/>
      <c r="X105" s="951"/>
      <c r="Y105" s="951"/>
      <c r="Z105" s="951"/>
      <c r="AA105" s="951"/>
      <c r="AB105" s="951"/>
      <c r="AC105" s="951"/>
      <c r="AD105" s="951"/>
      <c r="AE105" s="951"/>
      <c r="AF105" s="951"/>
      <c r="AG105" s="951"/>
      <c r="AH105" s="951"/>
      <c r="AI105" s="952"/>
      <c r="AJ105" s="344">
        <f t="shared" si="15"/>
        <v>0</v>
      </c>
      <c r="AK105" s="152"/>
      <c r="AL105" s="113"/>
      <c r="AM105" s="89"/>
      <c r="AN105" s="89"/>
      <c r="AO105" s="89"/>
      <c r="AP105" s="89"/>
      <c r="AQ105" s="89"/>
      <c r="AR105" s="89"/>
    </row>
    <row r="106" spans="1:44" s="218" customFormat="1" ht="63.75" x14ac:dyDescent="0.2">
      <c r="C106" s="219" t="s">
        <v>444</v>
      </c>
      <c r="D106" s="220"/>
      <c r="E106" s="331"/>
      <c r="F106" s="332"/>
      <c r="G106" s="332"/>
      <c r="H106" s="332"/>
      <c r="I106" s="332"/>
      <c r="J106" s="332"/>
      <c r="K106" s="332"/>
      <c r="L106" s="332"/>
      <c r="M106" s="332"/>
      <c r="N106" s="332"/>
      <c r="O106" s="332"/>
      <c r="P106" s="332"/>
      <c r="Q106" s="332"/>
      <c r="R106" s="332"/>
      <c r="S106" s="332"/>
      <c r="T106" s="332"/>
      <c r="U106" s="332"/>
      <c r="V106" s="332"/>
      <c r="W106" s="332"/>
      <c r="X106" s="332"/>
      <c r="Y106" s="332"/>
      <c r="Z106" s="332"/>
      <c r="AA106" s="332"/>
      <c r="AB106" s="332"/>
      <c r="AC106" s="332"/>
      <c r="AD106" s="332"/>
      <c r="AE106" s="332"/>
      <c r="AF106" s="332"/>
      <c r="AG106" s="332"/>
      <c r="AH106" s="332"/>
      <c r="AI106" s="333"/>
      <c r="AJ106" s="221"/>
      <c r="AL106" s="222"/>
    </row>
  </sheetData>
  <sheetProtection algorithmName="SHA-512" hashValue="YsnDBcl00WRpCrSmkMlIR+qVUwgQV8oMeUzRaipt9Q/8cOaE9vfM6lWBTmgnZhzl5wcUVVaF86M2UBOuN/QjHQ==" saltValue="UJ0pBw49YybxNXW+4sTOiA==" spinCount="100000" sheet="1" selectLockedCells="1"/>
  <mergeCells count="1">
    <mergeCell ref="D3:D4"/>
  </mergeCells>
  <phoneticPr fontId="9" type="noConversion"/>
  <conditionalFormatting sqref="E3:AH4">
    <cfRule type="expression" dxfId="300" priority="32" stopIfTrue="1">
      <formula>WEEKDAY(E$3,2)=7</formula>
    </cfRule>
  </conditionalFormatting>
  <conditionalFormatting sqref="E7:AH7 E9:AH9">
    <cfRule type="expression" dxfId="299" priority="1" stopIfTrue="1">
      <formula>WEEKDAY(E$3,2)=6</formula>
    </cfRule>
    <cfRule type="expression" dxfId="298" priority="2" stopIfTrue="1">
      <formula>WEEKDAY(E$3,2)=7</formula>
    </cfRule>
  </conditionalFormatting>
  <conditionalFormatting sqref="E8:AH8 E10:AH10">
    <cfRule type="expression" dxfId="297" priority="3" stopIfTrue="1">
      <formula>WEEKDAY(E$3,2)=6</formula>
    </cfRule>
    <cfRule type="expression" dxfId="296" priority="4" stopIfTrue="1">
      <formula>WEEKDAY(E$3,2)=7</formula>
    </cfRule>
  </conditionalFormatting>
  <conditionalFormatting sqref="E11:AH11">
    <cfRule type="expression" dxfId="295" priority="27" stopIfTrue="1">
      <formula>WEEKDAY(E$3,2)=6</formula>
    </cfRule>
    <cfRule type="expression" dxfId="294" priority="28" stopIfTrue="1">
      <formula>WEEKDAY(E$3,2)=7</formula>
    </cfRule>
  </conditionalFormatting>
  <conditionalFormatting sqref="E12:AH12">
    <cfRule type="expression" dxfId="293" priority="29" stopIfTrue="1">
      <formula>WEEKDAY(E$3,2)=6</formula>
    </cfRule>
    <cfRule type="expression" dxfId="292" priority="30" stopIfTrue="1">
      <formula>WEEKDAY(E$3,2)=7</formula>
    </cfRule>
  </conditionalFormatting>
  <conditionalFormatting sqref="E3:AI4">
    <cfRule type="expression" dxfId="291" priority="31" stopIfTrue="1">
      <formula>WEEKDAY(E$3,2)=6</formula>
    </cfRule>
  </conditionalFormatting>
  <conditionalFormatting sqref="E13:AI18">
    <cfRule type="expression" dxfId="290" priority="33" stopIfTrue="1">
      <formula>WEEKDAY(E$3,2)=6</formula>
    </cfRule>
    <cfRule type="expression" dxfId="289" priority="34" stopIfTrue="1">
      <formula>WEEKDAY(E$3,2)=7</formula>
    </cfRule>
  </conditionalFormatting>
  <conditionalFormatting sqref="E19:AI19">
    <cfRule type="expression" dxfId="288" priority="35" stopIfTrue="1">
      <formula>WEEKDAY(E$3,2)=6</formula>
    </cfRule>
    <cfRule type="expression" dxfId="287" priority="36" stopIfTrue="1">
      <formula>WEEKDAY(E$3,2)=7</formula>
    </cfRule>
  </conditionalFormatting>
  <conditionalFormatting sqref="E20:AI20 E39:AI39">
    <cfRule type="expression" dxfId="286" priority="25" stopIfTrue="1">
      <formula>WEEKDAY(E$3,2)=6</formula>
    </cfRule>
    <cfRule type="expression" dxfId="285" priority="26" stopIfTrue="1">
      <formula>WEEKDAY(E$3,2)=7</formula>
    </cfRule>
  </conditionalFormatting>
  <conditionalFormatting sqref="E21:AI21 E33:AI38">
    <cfRule type="expression" dxfId="284" priority="21" stopIfTrue="1">
      <formula>WEEKDAY(E$3,2)=6</formula>
    </cfRule>
    <cfRule type="expression" dxfId="283" priority="22" stopIfTrue="1">
      <formula>WEEKDAY(E$3,2)=7</formula>
    </cfRule>
  </conditionalFormatting>
  <conditionalFormatting sqref="E22:AI32 E41:AI85 E94:AI106">
    <cfRule type="expression" dxfId="282" priority="23" stopIfTrue="1">
      <formula>WEEKDAY(E$3,2)=6</formula>
    </cfRule>
    <cfRule type="expression" dxfId="281" priority="24" stopIfTrue="1">
      <formula>WEEKDAY(E$3,2)=7</formula>
    </cfRule>
  </conditionalFormatting>
  <conditionalFormatting sqref="E40:AI40">
    <cfRule type="cellIs" dxfId="280" priority="37" stopIfTrue="1" operator="notEqual">
      <formula>0</formula>
    </cfRule>
    <cfRule type="expression" dxfId="279" priority="38" stopIfTrue="1">
      <formula>WEEKDAY(E$3,2)=6</formula>
    </cfRule>
    <cfRule type="expression" dxfId="278" priority="39" stopIfTrue="1">
      <formula>WEEKDAY(E$3,2)=7</formula>
    </cfRule>
  </conditionalFormatting>
  <conditionalFormatting sqref="AI3:AI4">
    <cfRule type="expression" dxfId="277" priority="43" stopIfTrue="1">
      <formula>WEEKDAY(AI$3,2)=7</formula>
    </cfRule>
  </conditionalFormatting>
  <conditionalFormatting sqref="AI7:AI12">
    <cfRule type="expression" dxfId="276" priority="17" stopIfTrue="1">
      <formula>WEEKDAY(AI$3,2)=6</formula>
    </cfRule>
    <cfRule type="expression" dxfId="275" priority="18" stopIfTrue="1">
      <formula>WEEKDAY(AI$3,2)=7</formula>
    </cfRule>
  </conditionalFormatting>
  <printOptions horizontalCentered="1" verticalCentered="1"/>
  <pageMargins left="0.19685039370078741" right="0.19685039370078741" top="0.39370078740157483" bottom="0.19685039370078741" header="0.31496062992125984" footer="0.19685039370078741"/>
  <pageSetup paperSize="9" orientation="landscape"/>
  <headerFooter>
    <oddHeader>&amp;C&amp;12Monatsabrechnung   &amp;A</oddHead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pageSetUpPr fitToPage="1"/>
  </sheetPr>
  <dimension ref="A1:AT106"/>
  <sheetViews>
    <sheetView showGridLines="0" showRowColHeaders="0" showZeros="0" showOutlineSymbols="0" topLeftCell="A2" zoomScale="80" zoomScaleNormal="80" workbookViewId="0">
      <pane xSplit="4" ySplit="39" topLeftCell="E41" activePane="bottomRight" state="frozen"/>
      <selection pane="topRight"/>
      <selection pane="bottomLeft"/>
      <selection pane="bottomRight" activeCell="E7" sqref="E7"/>
    </sheetView>
  </sheetViews>
  <sheetFormatPr baseColWidth="10" defaultColWidth="11.42578125" defaultRowHeight="12.75" outlineLevelRow="2" outlineLevelCol="1" x14ac:dyDescent="0.2"/>
  <cols>
    <col min="1" max="1" width="11.42578125" style="8" hidden="1" customWidth="1" outlineLevel="1"/>
    <col min="2" max="2" width="8.42578125" style="13" hidden="1" customWidth="1" outlineLevel="1"/>
    <col min="3" max="3" width="22.42578125" style="87" customWidth="1" collapsed="1"/>
    <col min="4" max="4" width="7.85546875" style="13" customWidth="1"/>
    <col min="5" max="35" width="7.42578125" style="13" customWidth="1"/>
    <col min="36" max="36" width="7.42578125" style="209" customWidth="1"/>
    <col min="37" max="37" width="7.7109375" style="13" hidden="1" customWidth="1" outlineLevel="1"/>
    <col min="38" max="38" width="15.7109375" style="182" hidden="1" customWidth="1" outlineLevel="1"/>
    <col min="39" max="40" width="11.42578125" style="8" hidden="1" customWidth="1" outlineLevel="1"/>
    <col min="41" max="41" width="26.7109375" style="8" hidden="1" customWidth="1" outlineLevel="1"/>
    <col min="42" max="44" width="11.42578125" style="8" hidden="1" customWidth="1" outlineLevel="1"/>
    <col min="45" max="45" width="11.42578125" style="8" collapsed="1"/>
    <col min="46" max="16384" width="11.42578125" style="8"/>
  </cols>
  <sheetData>
    <row r="1" spans="2:46" ht="30" hidden="1" customHeight="1" outlineLevel="1" thickBot="1" x14ac:dyDescent="0.25">
      <c r="AF1" s="8"/>
      <c r="AJ1" s="88"/>
      <c r="AK1" s="89"/>
      <c r="AL1" s="90" t="s">
        <v>406</v>
      </c>
      <c r="AM1" s="91" t="s">
        <v>407</v>
      </c>
      <c r="AN1" s="89"/>
      <c r="AO1" s="89"/>
      <c r="AP1" s="89"/>
      <c r="AQ1" s="89"/>
      <c r="AR1" s="89"/>
    </row>
    <row r="2" spans="2:46" ht="30" customHeight="1" collapsed="1" thickBot="1" x14ac:dyDescent="0.25">
      <c r="C2" s="92">
        <f>DATEVALUE("1.2."&amp;YEAR(ctPersonalangaben!H12))</f>
        <v>44592</v>
      </c>
      <c r="D2" s="93">
        <f>YEAR(ctPersonalangaben!H12)</f>
        <v>2026</v>
      </c>
      <c r="E2" s="897" t="str">
        <f>CONCATENATE("Arbeitszeit-Eingabe von ",Mitarbeiter)</f>
        <v>Arbeitszeit-Eingabe von Max Muster, Musterstelle</v>
      </c>
      <c r="F2" s="6"/>
      <c r="G2" s="6"/>
      <c r="H2" s="6"/>
      <c r="I2" s="94"/>
      <c r="J2" s="6"/>
      <c r="K2" s="6"/>
      <c r="L2" s="6"/>
      <c r="M2" s="6"/>
      <c r="N2" s="6"/>
      <c r="O2" s="6"/>
      <c r="P2" s="6"/>
      <c r="Q2" s="6"/>
      <c r="R2" s="6"/>
      <c r="S2" s="95"/>
      <c r="T2" s="96"/>
      <c r="U2" s="96"/>
      <c r="V2" s="97"/>
      <c r="W2" s="97"/>
      <c r="X2" s="97"/>
      <c r="Y2" s="97"/>
      <c r="Z2" s="97"/>
      <c r="AA2" s="97"/>
      <c r="AB2" s="97"/>
      <c r="AC2" s="97"/>
      <c r="AD2" s="98"/>
      <c r="AE2" s="97"/>
      <c r="AF2" s="99"/>
      <c r="AG2" s="100" t="s">
        <v>408</v>
      </c>
      <c r="AH2" s="99">
        <f>VLOOKUP(DATE($D$2,MONTH($C$2),$E$4),Ferienanspruch,3,TRUE)</f>
        <v>100</v>
      </c>
      <c r="AI2" s="101" t="s">
        <v>106</v>
      </c>
      <c r="AJ2" s="88"/>
      <c r="AK2" s="102"/>
      <c r="AL2" s="91"/>
      <c r="AM2" s="91" t="s">
        <v>409</v>
      </c>
      <c r="AN2" s="89"/>
      <c r="AO2" s="89"/>
      <c r="AP2" s="89"/>
      <c r="AQ2" s="89"/>
      <c r="AR2" s="89"/>
    </row>
    <row r="3" spans="2:46" x14ac:dyDescent="0.2">
      <c r="C3" s="7"/>
      <c r="D3" s="1254" t="s">
        <v>254</v>
      </c>
      <c r="E3" s="226">
        <f t="shared" ref="E3:AF3" si="0">DATE($D$2,MONTH($C$2),E$4)</f>
        <v>44592</v>
      </c>
      <c r="F3" s="103">
        <f t="shared" si="0"/>
        <v>44593</v>
      </c>
      <c r="G3" s="103">
        <f t="shared" si="0"/>
        <v>44594</v>
      </c>
      <c r="H3" s="103">
        <f t="shared" si="0"/>
        <v>44595</v>
      </c>
      <c r="I3" s="226">
        <f t="shared" si="0"/>
        <v>44596</v>
      </c>
      <c r="J3" s="103">
        <f t="shared" si="0"/>
        <v>44597</v>
      </c>
      <c r="K3" s="103">
        <f t="shared" si="0"/>
        <v>44598</v>
      </c>
      <c r="L3" s="103">
        <f t="shared" si="0"/>
        <v>44599</v>
      </c>
      <c r="M3" s="103">
        <f t="shared" si="0"/>
        <v>44600</v>
      </c>
      <c r="N3" s="103">
        <f t="shared" si="0"/>
        <v>44601</v>
      </c>
      <c r="O3" s="103">
        <f t="shared" si="0"/>
        <v>44602</v>
      </c>
      <c r="P3" s="103">
        <f t="shared" si="0"/>
        <v>44603</v>
      </c>
      <c r="Q3" s="103">
        <f t="shared" si="0"/>
        <v>44604</v>
      </c>
      <c r="R3" s="103">
        <f t="shared" si="0"/>
        <v>44605</v>
      </c>
      <c r="S3" s="103">
        <f t="shared" si="0"/>
        <v>44606</v>
      </c>
      <c r="T3" s="103">
        <f t="shared" si="0"/>
        <v>44607</v>
      </c>
      <c r="U3" s="103">
        <f t="shared" si="0"/>
        <v>44608</v>
      </c>
      <c r="V3" s="103">
        <f t="shared" si="0"/>
        <v>44609</v>
      </c>
      <c r="W3" s="103">
        <f t="shared" si="0"/>
        <v>44610</v>
      </c>
      <c r="X3" s="103">
        <f t="shared" si="0"/>
        <v>44611</v>
      </c>
      <c r="Y3" s="103">
        <f t="shared" si="0"/>
        <v>44612</v>
      </c>
      <c r="Z3" s="103">
        <f t="shared" si="0"/>
        <v>44613</v>
      </c>
      <c r="AA3" s="103">
        <f t="shared" si="0"/>
        <v>44614</v>
      </c>
      <c r="AB3" s="103">
        <f t="shared" si="0"/>
        <v>44615</v>
      </c>
      <c r="AC3" s="103">
        <f t="shared" si="0"/>
        <v>44616</v>
      </c>
      <c r="AD3" s="104">
        <f t="shared" si="0"/>
        <v>44617</v>
      </c>
      <c r="AE3" s="104">
        <f t="shared" si="0"/>
        <v>44618</v>
      </c>
      <c r="AF3" s="104">
        <f t="shared" si="0"/>
        <v>44619</v>
      </c>
      <c r="AG3" s="104" t="str">
        <f>IF(MONTH($C2+AG$5) = MONTH($C2),DATE($D$2,MONTH($C$2),AG$5+1),"")</f>
        <v/>
      </c>
      <c r="AH3" s="104" t="str">
        <f>IF(MONTH($C2+AH$5) = MONTH($C2),DATE($D$2,MONTH($C$2),AH$5+1),"")</f>
        <v/>
      </c>
      <c r="AI3" s="105" t="str">
        <f>IF(MONTH($C2+AI$5) = MONTH($C2),DATE($D$2,MONTH($C$2),AI$5+1),"")</f>
        <v/>
      </c>
      <c r="AJ3" s="88"/>
      <c r="AK3" s="106"/>
      <c r="AL3" s="91"/>
      <c r="AM3" s="91"/>
      <c r="AN3" s="89"/>
      <c r="AO3" s="89"/>
      <c r="AP3" s="89"/>
      <c r="AQ3" s="89"/>
      <c r="AR3" s="89"/>
    </row>
    <row r="4" spans="2:46" ht="19.5" customHeight="1" x14ac:dyDescent="0.2">
      <c r="C4" s="13"/>
      <c r="D4" s="1255"/>
      <c r="E4" s="227">
        <v>1</v>
      </c>
      <c r="F4" s="107">
        <v>2</v>
      </c>
      <c r="G4" s="107">
        <v>3</v>
      </c>
      <c r="H4" s="107">
        <v>4</v>
      </c>
      <c r="I4" s="227">
        <v>5</v>
      </c>
      <c r="J4" s="107">
        <v>6</v>
      </c>
      <c r="K4" s="107">
        <v>7</v>
      </c>
      <c r="L4" s="107">
        <v>8</v>
      </c>
      <c r="M4" s="107">
        <v>9</v>
      </c>
      <c r="N4" s="107">
        <v>10</v>
      </c>
      <c r="O4" s="107">
        <v>11</v>
      </c>
      <c r="P4" s="107">
        <v>12</v>
      </c>
      <c r="Q4" s="107">
        <v>13</v>
      </c>
      <c r="R4" s="107">
        <v>14</v>
      </c>
      <c r="S4" s="107">
        <v>15</v>
      </c>
      <c r="T4" s="107">
        <v>16</v>
      </c>
      <c r="U4" s="107">
        <v>17</v>
      </c>
      <c r="V4" s="107">
        <v>18</v>
      </c>
      <c r="W4" s="107">
        <v>19</v>
      </c>
      <c r="X4" s="107">
        <v>20</v>
      </c>
      <c r="Y4" s="107">
        <v>21</v>
      </c>
      <c r="Z4" s="107">
        <v>22</v>
      </c>
      <c r="AA4" s="107">
        <v>23</v>
      </c>
      <c r="AB4" s="107">
        <v>24</v>
      </c>
      <c r="AC4" s="107">
        <v>25</v>
      </c>
      <c r="AD4" s="107">
        <v>26</v>
      </c>
      <c r="AE4" s="107">
        <v>27</v>
      </c>
      <c r="AF4" s="107">
        <v>28</v>
      </c>
      <c r="AG4" s="107">
        <f>IF(MONTH($C2+AG5) = MONTH($C2),AG$5+1,0)</f>
        <v>0</v>
      </c>
      <c r="AH4" s="107">
        <f>IF(MONTH($C2+AH5) = MONTH($C2),AH$5+1,0)</f>
        <v>0</v>
      </c>
      <c r="AI4" s="108">
        <f>IF(MONTH($C2+AI5) = MONTH($C2),AI$5+1,0)</f>
        <v>0</v>
      </c>
      <c r="AJ4" s="88"/>
      <c r="AK4" s="106"/>
      <c r="AL4" s="91"/>
      <c r="AM4" s="91"/>
      <c r="AN4" s="89"/>
      <c r="AO4" s="89"/>
      <c r="AP4" s="89"/>
      <c r="AQ4" s="89"/>
      <c r="AR4" s="89"/>
    </row>
    <row r="5" spans="2:46" ht="19.5" hidden="1" customHeight="1" outlineLevel="1" x14ac:dyDescent="0.2">
      <c r="C5" s="13"/>
      <c r="D5" s="109"/>
      <c r="E5" s="110"/>
      <c r="F5" s="110">
        <v>1</v>
      </c>
      <c r="G5" s="110">
        <v>2</v>
      </c>
      <c r="H5" s="228">
        <v>3</v>
      </c>
      <c r="I5" s="110">
        <v>4</v>
      </c>
      <c r="J5" s="110">
        <v>5</v>
      </c>
      <c r="K5" s="110">
        <v>6</v>
      </c>
      <c r="L5" s="110">
        <v>7</v>
      </c>
      <c r="M5" s="110">
        <v>8</v>
      </c>
      <c r="N5" s="110">
        <v>9</v>
      </c>
      <c r="O5" s="110">
        <v>10</v>
      </c>
      <c r="P5" s="110">
        <v>11</v>
      </c>
      <c r="Q5" s="110">
        <v>12</v>
      </c>
      <c r="R5" s="110">
        <v>13</v>
      </c>
      <c r="S5" s="110">
        <v>14</v>
      </c>
      <c r="T5" s="110">
        <v>15</v>
      </c>
      <c r="U5" s="110">
        <v>16</v>
      </c>
      <c r="V5" s="110">
        <v>17</v>
      </c>
      <c r="W5" s="110">
        <v>18</v>
      </c>
      <c r="X5" s="110">
        <v>19</v>
      </c>
      <c r="Y5" s="110">
        <v>20</v>
      </c>
      <c r="Z5" s="110">
        <v>21</v>
      </c>
      <c r="AA5" s="110">
        <v>22</v>
      </c>
      <c r="AB5" s="110">
        <v>23</v>
      </c>
      <c r="AC5" s="110">
        <v>24</v>
      </c>
      <c r="AD5" s="110">
        <v>25</v>
      </c>
      <c r="AE5" s="110">
        <v>26</v>
      </c>
      <c r="AF5" s="110">
        <v>27</v>
      </c>
      <c r="AG5" s="110">
        <v>28</v>
      </c>
      <c r="AH5" s="110">
        <v>29</v>
      </c>
      <c r="AI5" s="111">
        <v>30</v>
      </c>
      <c r="AJ5" s="88"/>
      <c r="AK5" s="102"/>
      <c r="AL5" s="91"/>
      <c r="AM5" s="91"/>
      <c r="AN5" s="89"/>
      <c r="AO5" s="89"/>
      <c r="AP5" s="89"/>
      <c r="AQ5" s="89"/>
      <c r="AR5" s="89"/>
    </row>
    <row r="6" spans="2:46" ht="19.5" hidden="1" customHeight="1" outlineLevel="1" x14ac:dyDescent="0.2">
      <c r="C6" s="13"/>
      <c r="D6" s="109"/>
      <c r="E6" s="288">
        <f>WEEKDAY(E$3,2)</f>
        <v>7</v>
      </c>
      <c r="F6" s="288">
        <f t="shared" ref="F6:AF6" si="1">WEEKDAY(F$3,2)</f>
        <v>1</v>
      </c>
      <c r="G6" s="288">
        <f t="shared" si="1"/>
        <v>2</v>
      </c>
      <c r="H6" s="898">
        <f t="shared" si="1"/>
        <v>3</v>
      </c>
      <c r="I6" s="288">
        <f t="shared" si="1"/>
        <v>4</v>
      </c>
      <c r="J6" s="288">
        <f t="shared" si="1"/>
        <v>5</v>
      </c>
      <c r="K6" s="288">
        <f t="shared" si="1"/>
        <v>6</v>
      </c>
      <c r="L6" s="288">
        <f t="shared" si="1"/>
        <v>7</v>
      </c>
      <c r="M6" s="288">
        <f t="shared" si="1"/>
        <v>1</v>
      </c>
      <c r="N6" s="288">
        <f t="shared" si="1"/>
        <v>2</v>
      </c>
      <c r="O6" s="288">
        <f t="shared" si="1"/>
        <v>3</v>
      </c>
      <c r="P6" s="288">
        <f t="shared" si="1"/>
        <v>4</v>
      </c>
      <c r="Q6" s="288">
        <f t="shared" si="1"/>
        <v>5</v>
      </c>
      <c r="R6" s="288">
        <f t="shared" si="1"/>
        <v>6</v>
      </c>
      <c r="S6" s="288">
        <f t="shared" si="1"/>
        <v>7</v>
      </c>
      <c r="T6" s="288">
        <f t="shared" si="1"/>
        <v>1</v>
      </c>
      <c r="U6" s="288">
        <f t="shared" si="1"/>
        <v>2</v>
      </c>
      <c r="V6" s="288">
        <f t="shared" si="1"/>
        <v>3</v>
      </c>
      <c r="W6" s="288">
        <f t="shared" si="1"/>
        <v>4</v>
      </c>
      <c r="X6" s="288">
        <f t="shared" si="1"/>
        <v>5</v>
      </c>
      <c r="Y6" s="288">
        <f t="shared" si="1"/>
        <v>6</v>
      </c>
      <c r="Z6" s="288">
        <f t="shared" si="1"/>
        <v>7</v>
      </c>
      <c r="AA6" s="288">
        <f t="shared" si="1"/>
        <v>1</v>
      </c>
      <c r="AB6" s="288">
        <f t="shared" si="1"/>
        <v>2</v>
      </c>
      <c r="AC6" s="288">
        <f t="shared" si="1"/>
        <v>3</v>
      </c>
      <c r="AD6" s="288">
        <f t="shared" si="1"/>
        <v>4</v>
      </c>
      <c r="AE6" s="288">
        <f t="shared" si="1"/>
        <v>5</v>
      </c>
      <c r="AF6" s="288">
        <f t="shared" si="1"/>
        <v>6</v>
      </c>
      <c r="AG6" s="288" t="str">
        <f>IF(AG3&lt;&gt;"",WEEKDAY(AG$3,2),"")</f>
        <v/>
      </c>
      <c r="AH6" s="288"/>
      <c r="AI6" s="899"/>
      <c r="AJ6" s="88"/>
      <c r="AK6" s="102"/>
      <c r="AL6" s="91"/>
      <c r="AM6" s="91"/>
      <c r="AN6" s="89"/>
      <c r="AO6" s="89"/>
      <c r="AP6" s="89"/>
      <c r="AQ6" s="89"/>
      <c r="AR6" s="89"/>
    </row>
    <row r="7" spans="2:46" ht="22.5" customHeight="1" collapsed="1" x14ac:dyDescent="0.2">
      <c r="C7" s="8"/>
      <c r="D7" s="112" t="str">
        <f>Januar!D7</f>
        <v>Beginn</v>
      </c>
      <c r="E7" s="1041"/>
      <c r="F7" s="1041"/>
      <c r="G7" s="1041"/>
      <c r="H7" s="1041"/>
      <c r="I7" s="1041"/>
      <c r="J7" s="1042"/>
      <c r="K7" s="1042"/>
      <c r="L7" s="1041"/>
      <c r="M7" s="1041"/>
      <c r="N7" s="1041"/>
      <c r="O7" s="1041"/>
      <c r="P7" s="1041"/>
      <c r="Q7" s="1042"/>
      <c r="R7" s="1042"/>
      <c r="S7" s="1041"/>
      <c r="T7" s="1041"/>
      <c r="U7" s="1041"/>
      <c r="V7" s="1041"/>
      <c r="W7" s="1041"/>
      <c r="X7" s="1042"/>
      <c r="Y7" s="1042"/>
      <c r="Z7" s="1041"/>
      <c r="AA7" s="1041"/>
      <c r="AB7" s="1041"/>
      <c r="AC7" s="1041"/>
      <c r="AD7" s="1041"/>
      <c r="AE7" s="1042"/>
      <c r="AF7" s="1042"/>
      <c r="AG7" s="1041"/>
      <c r="AH7" s="1041"/>
      <c r="AI7" s="1041"/>
      <c r="AJ7" s="88"/>
      <c r="AK7" s="900"/>
      <c r="AL7" s="91"/>
      <c r="AM7" s="91"/>
      <c r="AN7" s="113"/>
      <c r="AO7" s="89"/>
      <c r="AP7" s="89"/>
      <c r="AQ7" s="89"/>
      <c r="AR7" s="89"/>
    </row>
    <row r="8" spans="2:46" ht="22.5" customHeight="1" x14ac:dyDescent="0.2">
      <c r="C8" s="901"/>
      <c r="D8" s="112" t="str">
        <f>Januar!D8</f>
        <v>Ende</v>
      </c>
      <c r="E8" s="235"/>
      <c r="F8" s="235"/>
      <c r="G8" s="235"/>
      <c r="H8" s="235"/>
      <c r="I8" s="235"/>
      <c r="J8" s="223"/>
      <c r="K8" s="223"/>
      <c r="L8" s="235"/>
      <c r="M8" s="235"/>
      <c r="N8" s="235"/>
      <c r="O8" s="235"/>
      <c r="P8" s="235"/>
      <c r="Q8" s="223"/>
      <c r="R8" s="223"/>
      <c r="S8" s="235"/>
      <c r="T8" s="235"/>
      <c r="U8" s="235"/>
      <c r="V8" s="235"/>
      <c r="W8" s="235"/>
      <c r="X8" s="223"/>
      <c r="Y8" s="223"/>
      <c r="Z8" s="235"/>
      <c r="AA8" s="235"/>
      <c r="AB8" s="235"/>
      <c r="AC8" s="235"/>
      <c r="AD8" s="235"/>
      <c r="AE8" s="223"/>
      <c r="AF8" s="223"/>
      <c r="AG8" s="235"/>
      <c r="AH8" s="235"/>
      <c r="AI8" s="235"/>
      <c r="AJ8" s="88"/>
      <c r="AK8" s="900"/>
      <c r="AL8" s="91"/>
      <c r="AM8" s="91"/>
      <c r="AN8" s="89"/>
      <c r="AO8" s="89"/>
      <c r="AP8" s="89"/>
      <c r="AQ8" s="89"/>
      <c r="AR8" s="89"/>
    </row>
    <row r="9" spans="2:46" ht="22.5" customHeight="1" x14ac:dyDescent="0.2">
      <c r="C9" s="8"/>
      <c r="D9" s="112" t="str">
        <f>Januar!D9</f>
        <v>Beginn</v>
      </c>
      <c r="E9" s="1041"/>
      <c r="F9" s="1041"/>
      <c r="G9" s="1041"/>
      <c r="H9" s="1041"/>
      <c r="I9" s="1041"/>
      <c r="J9" s="1042"/>
      <c r="K9" s="1042"/>
      <c r="L9" s="1041"/>
      <c r="M9" s="1041"/>
      <c r="N9" s="1041"/>
      <c r="O9" s="1041"/>
      <c r="P9" s="1041"/>
      <c r="Q9" s="1042"/>
      <c r="R9" s="1042"/>
      <c r="S9" s="1041"/>
      <c r="T9" s="1041"/>
      <c r="U9" s="1041"/>
      <c r="V9" s="1041"/>
      <c r="W9" s="1041"/>
      <c r="X9" s="1042"/>
      <c r="Y9" s="1042"/>
      <c r="Z9" s="1041"/>
      <c r="AA9" s="1041"/>
      <c r="AB9" s="1041"/>
      <c r="AC9" s="1041"/>
      <c r="AD9" s="1041"/>
      <c r="AE9" s="1042"/>
      <c r="AF9" s="1042"/>
      <c r="AG9" s="1041"/>
      <c r="AH9" s="1041"/>
      <c r="AI9" s="1041"/>
      <c r="AJ9" s="88"/>
      <c r="AK9" s="900"/>
      <c r="AL9" s="91"/>
      <c r="AM9" s="91"/>
      <c r="AN9" s="89"/>
      <c r="AO9" s="89"/>
      <c r="AP9" s="89"/>
      <c r="AQ9" s="89"/>
      <c r="AR9" s="89"/>
    </row>
    <row r="10" spans="2:46" ht="22.5" customHeight="1" x14ac:dyDescent="0.2">
      <c r="C10" s="901"/>
      <c r="D10" s="112" t="str">
        <f>Januar!D10</f>
        <v>Ende</v>
      </c>
      <c r="E10" s="235"/>
      <c r="F10" s="235"/>
      <c r="G10" s="235"/>
      <c r="H10" s="235"/>
      <c r="I10" s="235"/>
      <c r="J10" s="223"/>
      <c r="K10" s="223"/>
      <c r="L10" s="235"/>
      <c r="M10" s="235"/>
      <c r="N10" s="235"/>
      <c r="O10" s="235"/>
      <c r="P10" s="235"/>
      <c r="Q10" s="223"/>
      <c r="R10" s="223"/>
      <c r="S10" s="235"/>
      <c r="T10" s="235"/>
      <c r="U10" s="235"/>
      <c r="V10" s="235"/>
      <c r="W10" s="235"/>
      <c r="X10" s="223"/>
      <c r="Y10" s="223"/>
      <c r="Z10" s="235"/>
      <c r="AA10" s="235"/>
      <c r="AB10" s="235"/>
      <c r="AC10" s="235"/>
      <c r="AD10" s="235"/>
      <c r="AE10" s="223"/>
      <c r="AF10" s="223"/>
      <c r="AG10" s="235"/>
      <c r="AH10" s="235"/>
      <c r="AI10" s="235"/>
      <c r="AJ10" s="88"/>
      <c r="AK10" s="900"/>
      <c r="AL10" s="900"/>
      <c r="AM10" s="114"/>
      <c r="AN10" s="114"/>
      <c r="AO10" s="114"/>
      <c r="AP10" s="89"/>
      <c r="AQ10" s="89"/>
      <c r="AR10" s="89"/>
    </row>
    <row r="11" spans="2:46" ht="22.5" customHeight="1" x14ac:dyDescent="0.2">
      <c r="C11" s="8"/>
      <c r="D11" s="112" t="str">
        <f>Januar!D11</f>
        <v>Beginn</v>
      </c>
      <c r="E11" s="1041"/>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3"/>
      <c r="AJ11" s="88"/>
      <c r="AK11" s="115"/>
      <c r="AL11" s="89"/>
      <c r="AM11" s="89"/>
      <c r="AN11" s="89"/>
      <c r="AO11" s="89"/>
      <c r="AP11" s="89"/>
      <c r="AQ11" s="89"/>
      <c r="AR11" s="89"/>
    </row>
    <row r="12" spans="2:46" ht="22.5" customHeight="1" x14ac:dyDescent="0.2">
      <c r="C12" s="116"/>
      <c r="D12" s="112" t="str">
        <f>Januar!D12</f>
        <v>Ende</v>
      </c>
      <c r="E12" s="235"/>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4"/>
      <c r="AJ12" s="88"/>
      <c r="AK12" s="902"/>
      <c r="AL12" s="91" t="s">
        <v>411</v>
      </c>
      <c r="AM12" s="91"/>
      <c r="AN12" s="113"/>
      <c r="AO12" s="89"/>
      <c r="AP12" s="89"/>
      <c r="AQ12" s="89"/>
      <c r="AR12" s="89"/>
    </row>
    <row r="13" spans="2:46" s="123" customFormat="1" x14ac:dyDescent="0.2">
      <c r="B13" s="117"/>
      <c r="C13" s="118" t="str">
        <f>Januar!C13</f>
        <v>Effektive Arbeitszeit</v>
      </c>
      <c r="D13" s="119"/>
      <c r="E13" s="1044">
        <f t="shared" ref="E13:AD13" si="2">IF(COUNT(E7:E12)&gt;0,E12-E11+E10-E9+E8-E7,E39)</f>
        <v>0</v>
      </c>
      <c r="F13" s="1045">
        <f t="shared" si="2"/>
        <v>0</v>
      </c>
      <c r="G13" s="1045">
        <f t="shared" si="2"/>
        <v>0</v>
      </c>
      <c r="H13" s="1045">
        <f t="shared" si="2"/>
        <v>0</v>
      </c>
      <c r="I13" s="1045">
        <f t="shared" si="2"/>
        <v>0</v>
      </c>
      <c r="J13" s="1045">
        <f t="shared" si="2"/>
        <v>0</v>
      </c>
      <c r="K13" s="1045">
        <f t="shared" si="2"/>
        <v>0</v>
      </c>
      <c r="L13" s="1045">
        <f t="shared" si="2"/>
        <v>0</v>
      </c>
      <c r="M13" s="1045">
        <f t="shared" si="2"/>
        <v>0</v>
      </c>
      <c r="N13" s="1045">
        <f t="shared" si="2"/>
        <v>0</v>
      </c>
      <c r="O13" s="1045">
        <f t="shared" si="2"/>
        <v>0</v>
      </c>
      <c r="P13" s="1045">
        <f t="shared" si="2"/>
        <v>0</v>
      </c>
      <c r="Q13" s="1045">
        <f t="shared" si="2"/>
        <v>0</v>
      </c>
      <c r="R13" s="1045">
        <f t="shared" si="2"/>
        <v>0</v>
      </c>
      <c r="S13" s="1045">
        <f t="shared" si="2"/>
        <v>0</v>
      </c>
      <c r="T13" s="1045">
        <f t="shared" si="2"/>
        <v>0</v>
      </c>
      <c r="U13" s="1045">
        <f t="shared" si="2"/>
        <v>0</v>
      </c>
      <c r="V13" s="1045">
        <f t="shared" si="2"/>
        <v>0</v>
      </c>
      <c r="W13" s="1045">
        <f t="shared" si="2"/>
        <v>0</v>
      </c>
      <c r="X13" s="1045">
        <f t="shared" si="2"/>
        <v>0</v>
      </c>
      <c r="Y13" s="1045">
        <f t="shared" si="2"/>
        <v>0</v>
      </c>
      <c r="Z13" s="1045">
        <f t="shared" si="2"/>
        <v>0</v>
      </c>
      <c r="AA13" s="1045">
        <f t="shared" si="2"/>
        <v>0</v>
      </c>
      <c r="AB13" s="1045">
        <f t="shared" si="2"/>
        <v>0</v>
      </c>
      <c r="AC13" s="1045">
        <f t="shared" si="2"/>
        <v>0</v>
      </c>
      <c r="AD13" s="1045">
        <f t="shared" si="2"/>
        <v>0</v>
      </c>
      <c r="AE13" s="1045">
        <f>IF(COUNT(AE7:AE12)&gt;0,AE12-AE11+AE10-AE9+AE8-AE7,AE39)</f>
        <v>0</v>
      </c>
      <c r="AF13" s="1045">
        <f>IF(COUNT(AF7:AF12)&gt;0,AF12-AF11+AF10-AF9+AF8-AF7,AF39)</f>
        <v>0</v>
      </c>
      <c r="AG13" s="1045">
        <f>IF(COUNT(AG7:AG12)&gt;0,AG12-AG11+AG10-AG9+AG8-AG7,AG39)</f>
        <v>0</v>
      </c>
      <c r="AH13" s="1045">
        <f>IF(COUNT(AH7:AH12)&gt;0,AH12-AH11+AH10-AH9+AH8-AH7,AH39)</f>
        <v>0</v>
      </c>
      <c r="AI13" s="1046">
        <f>IF(COUNT(AI7:AI12)&gt;0,AI12-AI11+AI10-AI9+AI8-AI7,AI39)</f>
        <v>0</v>
      </c>
      <c r="AJ13" s="1047">
        <f t="shared" ref="AJ13:AJ18" si="3">SUM(E13:AI13)</f>
        <v>0</v>
      </c>
      <c r="AK13" s="120"/>
      <c r="AL13" s="121" t="s">
        <v>413</v>
      </c>
      <c r="AM13" s="121"/>
      <c r="AN13" s="122"/>
      <c r="AS13" s="124"/>
    </row>
    <row r="14" spans="2:46" s="129" customFormat="1" x14ac:dyDescent="0.2">
      <c r="B14" s="117"/>
      <c r="C14" s="118" t="str">
        <f>Januar!C14</f>
        <v>inkl. Basiszeit / Feiertage</v>
      </c>
      <c r="D14" s="125"/>
      <c r="E14" s="126">
        <f t="shared" ref="E14:AD14" si="4">ROUND(SUM(E13,E15,E21,E22,E24:E38),8)</f>
        <v>0</v>
      </c>
      <c r="F14" s="127">
        <f t="shared" si="4"/>
        <v>0</v>
      </c>
      <c r="G14" s="127">
        <f t="shared" si="4"/>
        <v>0</v>
      </c>
      <c r="H14" s="127">
        <f t="shared" si="4"/>
        <v>0</v>
      </c>
      <c r="I14" s="127">
        <f t="shared" si="4"/>
        <v>0</v>
      </c>
      <c r="J14" s="127">
        <f t="shared" si="4"/>
        <v>0</v>
      </c>
      <c r="K14" s="127">
        <f t="shared" si="4"/>
        <v>0</v>
      </c>
      <c r="L14" s="127">
        <f t="shared" si="4"/>
        <v>0</v>
      </c>
      <c r="M14" s="127">
        <f t="shared" si="4"/>
        <v>0</v>
      </c>
      <c r="N14" s="127">
        <f t="shared" si="4"/>
        <v>0</v>
      </c>
      <c r="O14" s="127">
        <f t="shared" si="4"/>
        <v>0</v>
      </c>
      <c r="P14" s="127">
        <f t="shared" si="4"/>
        <v>0</v>
      </c>
      <c r="Q14" s="127">
        <f t="shared" si="4"/>
        <v>0</v>
      </c>
      <c r="R14" s="127">
        <f t="shared" si="4"/>
        <v>0</v>
      </c>
      <c r="S14" s="127">
        <f t="shared" si="4"/>
        <v>0</v>
      </c>
      <c r="T14" s="127">
        <f t="shared" si="4"/>
        <v>0</v>
      </c>
      <c r="U14" s="127">
        <f t="shared" si="4"/>
        <v>0</v>
      </c>
      <c r="V14" s="127">
        <f t="shared" si="4"/>
        <v>0</v>
      </c>
      <c r="W14" s="127">
        <f t="shared" si="4"/>
        <v>0</v>
      </c>
      <c r="X14" s="127">
        <f t="shared" si="4"/>
        <v>0</v>
      </c>
      <c r="Y14" s="127">
        <f t="shared" si="4"/>
        <v>0</v>
      </c>
      <c r="Z14" s="127">
        <f t="shared" si="4"/>
        <v>0</v>
      </c>
      <c r="AA14" s="127">
        <f t="shared" si="4"/>
        <v>0</v>
      </c>
      <c r="AB14" s="127">
        <f t="shared" si="4"/>
        <v>0</v>
      </c>
      <c r="AC14" s="127">
        <f t="shared" si="4"/>
        <v>0</v>
      </c>
      <c r="AD14" s="127">
        <f t="shared" si="4"/>
        <v>0</v>
      </c>
      <c r="AE14" s="127">
        <f>ROUND(SUM(AE13,AE15,AE21,AE22,AE24:AE38),8)</f>
        <v>0</v>
      </c>
      <c r="AF14" s="127">
        <f>ROUND(SUM(AF13,AF15,AF21,AF22,AF24:AF38),8)</f>
        <v>0</v>
      </c>
      <c r="AG14" s="127">
        <f>ROUND(SUM(AG13,AG15,AG21,AG22,AG24:AG38),8)</f>
        <v>0</v>
      </c>
      <c r="AH14" s="127">
        <f>ROUND(SUM(AH13,AH15,AH21,AH22,AH24:AH38),8)</f>
        <v>0</v>
      </c>
      <c r="AI14" s="127">
        <f>ROUND(SUM(AI13,AI15,AI21,AI22,AI24:AI38),8)</f>
        <v>0</v>
      </c>
      <c r="AJ14" s="128">
        <f t="shared" si="3"/>
        <v>0</v>
      </c>
      <c r="AK14" s="1048">
        <f>AJ14-AJ16-IF(Eingabeblatt!D7="NEIN",AJ85,AJ85/1.25)</f>
        <v>-6.9999999999999973</v>
      </c>
      <c r="AL14" s="117" t="s">
        <v>415</v>
      </c>
      <c r="AM14" s="121"/>
      <c r="AN14" s="122"/>
      <c r="AT14" s="123"/>
    </row>
    <row r="15" spans="2:46" s="129" customFormat="1" x14ac:dyDescent="0.2">
      <c r="B15" s="117">
        <f>ctFeierFreitage!K28</f>
        <v>3.3166666666666669</v>
      </c>
      <c r="C15" s="118" t="str">
        <f>Januar!C15</f>
        <v>Feiertagsanspruch</v>
      </c>
      <c r="D15" s="125"/>
      <c r="E15" s="126">
        <f t="shared" ref="E15:AI15" si="5">IF(ISERROR(VLOOKUP(DATE($D$2,MONTH($C$2),E$4),Feiertagsanspruch,9,FALSE)),0,VLOOKUP(DATE($D$2,MONTH($C$2),E$4),Feiertagsanspruch,9,FALSE))</f>
        <v>0</v>
      </c>
      <c r="F15" s="127">
        <f t="shared" si="5"/>
        <v>0</v>
      </c>
      <c r="G15" s="127">
        <f t="shared" si="5"/>
        <v>0</v>
      </c>
      <c r="H15" s="127">
        <f t="shared" si="5"/>
        <v>0</v>
      </c>
      <c r="I15" s="127">
        <f t="shared" si="5"/>
        <v>0</v>
      </c>
      <c r="J15" s="127">
        <f t="shared" si="5"/>
        <v>0</v>
      </c>
      <c r="K15" s="127">
        <f t="shared" si="5"/>
        <v>0</v>
      </c>
      <c r="L15" s="127">
        <f t="shared" si="5"/>
        <v>0</v>
      </c>
      <c r="M15" s="127">
        <f t="shared" si="5"/>
        <v>0</v>
      </c>
      <c r="N15" s="127">
        <f t="shared" si="5"/>
        <v>0</v>
      </c>
      <c r="O15" s="127">
        <f t="shared" si="5"/>
        <v>0</v>
      </c>
      <c r="P15" s="127">
        <f t="shared" si="5"/>
        <v>0</v>
      </c>
      <c r="Q15" s="127">
        <f t="shared" si="5"/>
        <v>0</v>
      </c>
      <c r="R15" s="127">
        <f t="shared" si="5"/>
        <v>0</v>
      </c>
      <c r="S15" s="127">
        <f t="shared" si="5"/>
        <v>0</v>
      </c>
      <c r="T15" s="127">
        <f t="shared" si="5"/>
        <v>0</v>
      </c>
      <c r="U15" s="127">
        <f t="shared" si="5"/>
        <v>0</v>
      </c>
      <c r="V15" s="127">
        <f t="shared" si="5"/>
        <v>0</v>
      </c>
      <c r="W15" s="127">
        <f t="shared" si="5"/>
        <v>0</v>
      </c>
      <c r="X15" s="127">
        <f t="shared" si="5"/>
        <v>0</v>
      </c>
      <c r="Y15" s="127">
        <f t="shared" si="5"/>
        <v>0</v>
      </c>
      <c r="Z15" s="127">
        <f t="shared" si="5"/>
        <v>0</v>
      </c>
      <c r="AA15" s="127">
        <f t="shared" si="5"/>
        <v>0</v>
      </c>
      <c r="AB15" s="127">
        <f t="shared" si="5"/>
        <v>0</v>
      </c>
      <c r="AC15" s="127">
        <f t="shared" si="5"/>
        <v>0</v>
      </c>
      <c r="AD15" s="127">
        <f t="shared" si="5"/>
        <v>0</v>
      </c>
      <c r="AE15" s="127">
        <f t="shared" si="5"/>
        <v>0</v>
      </c>
      <c r="AF15" s="127">
        <f t="shared" si="5"/>
        <v>0</v>
      </c>
      <c r="AG15" s="127">
        <f t="shared" si="5"/>
        <v>0</v>
      </c>
      <c r="AH15" s="127">
        <f t="shared" si="5"/>
        <v>0</v>
      </c>
      <c r="AI15" s="127">
        <f t="shared" si="5"/>
        <v>0</v>
      </c>
      <c r="AJ15" s="128">
        <f t="shared" si="3"/>
        <v>0</v>
      </c>
      <c r="AK15" s="1048"/>
      <c r="AL15" s="117"/>
      <c r="AM15" s="121"/>
      <c r="AN15" s="122"/>
      <c r="AT15" s="123"/>
    </row>
    <row r="16" spans="2:46" s="123" customFormat="1" hidden="1" outlineLevel="1" x14ac:dyDescent="0.2">
      <c r="B16" s="117"/>
      <c r="C16" s="118" t="str">
        <f>Januar!C16</f>
        <v>SOLL-Arbeitszeit</v>
      </c>
      <c r="D16" s="119"/>
      <c r="E16" s="126">
        <f t="shared" ref="E16:AD16" si="6">IF(ROUND(E17-E15,8)&lt;0,0,ROUND(E17-E15,8))</f>
        <v>0</v>
      </c>
      <c r="F16" s="127">
        <f t="shared" si="6"/>
        <v>0.35</v>
      </c>
      <c r="G16" s="127">
        <f t="shared" si="6"/>
        <v>0.35</v>
      </c>
      <c r="H16" s="127">
        <f t="shared" si="6"/>
        <v>0.35</v>
      </c>
      <c r="I16" s="127">
        <f t="shared" si="6"/>
        <v>0.35</v>
      </c>
      <c r="J16" s="127">
        <f t="shared" si="6"/>
        <v>0.35</v>
      </c>
      <c r="K16" s="127">
        <f t="shared" si="6"/>
        <v>0</v>
      </c>
      <c r="L16" s="127">
        <f t="shared" si="6"/>
        <v>0</v>
      </c>
      <c r="M16" s="127">
        <f t="shared" si="6"/>
        <v>0.35</v>
      </c>
      <c r="N16" s="127">
        <f t="shared" si="6"/>
        <v>0.35</v>
      </c>
      <c r="O16" s="127">
        <f t="shared" si="6"/>
        <v>0.35</v>
      </c>
      <c r="P16" s="127">
        <f t="shared" si="6"/>
        <v>0.35</v>
      </c>
      <c r="Q16" s="127">
        <f t="shared" si="6"/>
        <v>0.35</v>
      </c>
      <c r="R16" s="127">
        <f t="shared" si="6"/>
        <v>0</v>
      </c>
      <c r="S16" s="127">
        <f t="shared" si="6"/>
        <v>0</v>
      </c>
      <c r="T16" s="127">
        <f t="shared" si="6"/>
        <v>0.35</v>
      </c>
      <c r="U16" s="127">
        <f t="shared" si="6"/>
        <v>0.35</v>
      </c>
      <c r="V16" s="127">
        <f t="shared" si="6"/>
        <v>0.35</v>
      </c>
      <c r="W16" s="127">
        <f t="shared" si="6"/>
        <v>0.35</v>
      </c>
      <c r="X16" s="127">
        <f t="shared" si="6"/>
        <v>0.35</v>
      </c>
      <c r="Y16" s="127">
        <f t="shared" si="6"/>
        <v>0</v>
      </c>
      <c r="Z16" s="127">
        <f t="shared" si="6"/>
        <v>0</v>
      </c>
      <c r="AA16" s="127">
        <f t="shared" si="6"/>
        <v>0.35</v>
      </c>
      <c r="AB16" s="127">
        <f t="shared" si="6"/>
        <v>0.35</v>
      </c>
      <c r="AC16" s="127">
        <f t="shared" si="6"/>
        <v>0.35</v>
      </c>
      <c r="AD16" s="127">
        <f t="shared" si="6"/>
        <v>0.35</v>
      </c>
      <c r="AE16" s="127">
        <f>IF(ROUND(AE17-AE15,8)&lt;0,0,ROUND(AE17-AE15,8))</f>
        <v>0.35</v>
      </c>
      <c r="AF16" s="127">
        <f>IF(ROUND(AF17-AF15,8)&lt;0,0,ROUND(AF17-AF15,8))</f>
        <v>0</v>
      </c>
      <c r="AG16" s="127">
        <f>IF(ROUND(AG17-AG15,8)&lt;0,0,ROUND(AG17-AG15,8))</f>
        <v>0</v>
      </c>
      <c r="AH16" s="127">
        <f>IF(ROUND(AH17-AH15,8)&lt;0,0,ROUND(AH17-AH15,8))</f>
        <v>0</v>
      </c>
      <c r="AI16" s="127">
        <f>IF(ROUND(AI17-AI15,8)&lt;0,0,ROUND(AI17-AI15,8))</f>
        <v>0</v>
      </c>
      <c r="AJ16" s="128">
        <f t="shared" si="3"/>
        <v>6.9999999999999973</v>
      </c>
      <c r="AK16" s="130"/>
      <c r="AL16" s="121" t="s">
        <v>416</v>
      </c>
      <c r="AM16" s="121"/>
      <c r="AN16" s="122"/>
      <c r="AT16" s="129"/>
    </row>
    <row r="17" spans="1:46" s="123" customFormat="1" collapsed="1" x14ac:dyDescent="0.2">
      <c r="B17" s="117"/>
      <c r="C17" s="118" t="str">
        <f>Januar!C17</f>
        <v>Regelarbeitszeit</v>
      </c>
      <c r="D17" s="119"/>
      <c r="E17" s="126">
        <f>IF(ISERROR(IF(E4&lt;&gt;0,VLOOKUP(DATE($D$2,MONTH($C$2),E$4),Raz,WEEKDAY(DATE($D$2,MONTH($C$2),E$4))+2),0)),0,IF(E4&lt;&gt;0,VLOOKUP(DATE($D$2,MONTH($C$2),E$4),Raz,WEEKDAY(DATE($D$2,MONTH($C$2),E$4))+2),0))</f>
        <v>0</v>
      </c>
      <c r="F17" s="127">
        <f t="shared" ref="F17:AI17" si="7">IF(ISERROR(IF(F4&lt;&gt;0,VLOOKUP(DATE($D$2,MONTH($C$2),F$4),Raz,WEEKDAY(DATE($D$2,MONTH($C$2),F$4))+2),0)),0,IF(F4&lt;&gt;0,VLOOKUP(DATE($D$2,MONTH($C$2),F$4),Raz,WEEKDAY(DATE($D$2,MONTH($C$2),F$4))+2),0))</f>
        <v>0.35000000000000003</v>
      </c>
      <c r="G17" s="127">
        <f t="shared" si="7"/>
        <v>0.35000000000000003</v>
      </c>
      <c r="H17" s="127">
        <f t="shared" si="7"/>
        <v>0.35000000000000003</v>
      </c>
      <c r="I17" s="127">
        <f t="shared" si="7"/>
        <v>0.35</v>
      </c>
      <c r="J17" s="127">
        <f t="shared" si="7"/>
        <v>0.35000000000000003</v>
      </c>
      <c r="K17" s="127">
        <f t="shared" si="7"/>
        <v>0</v>
      </c>
      <c r="L17" s="127">
        <f t="shared" si="7"/>
        <v>0</v>
      </c>
      <c r="M17" s="127">
        <f t="shared" si="7"/>
        <v>0.35000000000000003</v>
      </c>
      <c r="N17" s="127">
        <f t="shared" si="7"/>
        <v>0.35000000000000003</v>
      </c>
      <c r="O17" s="127">
        <f t="shared" si="7"/>
        <v>0.35000000000000003</v>
      </c>
      <c r="P17" s="127">
        <f t="shared" si="7"/>
        <v>0.35</v>
      </c>
      <c r="Q17" s="127">
        <f t="shared" si="7"/>
        <v>0.35000000000000003</v>
      </c>
      <c r="R17" s="127">
        <f t="shared" si="7"/>
        <v>0</v>
      </c>
      <c r="S17" s="127">
        <f t="shared" si="7"/>
        <v>0</v>
      </c>
      <c r="T17" s="127">
        <f t="shared" si="7"/>
        <v>0.35000000000000003</v>
      </c>
      <c r="U17" s="127">
        <f t="shared" si="7"/>
        <v>0.35000000000000003</v>
      </c>
      <c r="V17" s="127">
        <f t="shared" si="7"/>
        <v>0.35000000000000003</v>
      </c>
      <c r="W17" s="127">
        <f t="shared" si="7"/>
        <v>0.35</v>
      </c>
      <c r="X17" s="127">
        <f t="shared" si="7"/>
        <v>0.35000000000000003</v>
      </c>
      <c r="Y17" s="127">
        <f t="shared" si="7"/>
        <v>0</v>
      </c>
      <c r="Z17" s="127">
        <f t="shared" si="7"/>
        <v>0</v>
      </c>
      <c r="AA17" s="127">
        <f t="shared" si="7"/>
        <v>0.35000000000000003</v>
      </c>
      <c r="AB17" s="127">
        <f t="shared" si="7"/>
        <v>0.35000000000000003</v>
      </c>
      <c r="AC17" s="127">
        <f t="shared" si="7"/>
        <v>0.35000000000000003</v>
      </c>
      <c r="AD17" s="127">
        <f t="shared" si="7"/>
        <v>0.35</v>
      </c>
      <c r="AE17" s="127">
        <f t="shared" si="7"/>
        <v>0.35000000000000003</v>
      </c>
      <c r="AF17" s="127">
        <f t="shared" si="7"/>
        <v>0</v>
      </c>
      <c r="AG17" s="127">
        <f t="shared" si="7"/>
        <v>0</v>
      </c>
      <c r="AH17" s="127">
        <f t="shared" si="7"/>
        <v>0</v>
      </c>
      <c r="AI17" s="127">
        <f t="shared" si="7"/>
        <v>0</v>
      </c>
      <c r="AJ17" s="128">
        <f t="shared" si="3"/>
        <v>6.9999999999999973</v>
      </c>
      <c r="AK17" s="131"/>
      <c r="AL17" s="121"/>
      <c r="AM17" s="121"/>
      <c r="AN17" s="122"/>
    </row>
    <row r="18" spans="1:46" s="123" customFormat="1" x14ac:dyDescent="0.2">
      <c r="B18" s="117"/>
      <c r="C18" s="132" t="str">
        <f>Januar!C18</f>
        <v>Mehr-/Minderleistung</v>
      </c>
      <c r="D18" s="133"/>
      <c r="E18" s="134">
        <f t="shared" ref="E18:AD18" si="8">ROUND(E14-E17,8)</f>
        <v>0</v>
      </c>
      <c r="F18" s="135">
        <f t="shared" si="8"/>
        <v>-0.35</v>
      </c>
      <c r="G18" s="135">
        <f t="shared" si="8"/>
        <v>-0.35</v>
      </c>
      <c r="H18" s="135">
        <f t="shared" si="8"/>
        <v>-0.35</v>
      </c>
      <c r="I18" s="135">
        <f t="shared" si="8"/>
        <v>-0.35</v>
      </c>
      <c r="J18" s="135">
        <f t="shared" si="8"/>
        <v>-0.35</v>
      </c>
      <c r="K18" s="135">
        <f t="shared" si="8"/>
        <v>0</v>
      </c>
      <c r="L18" s="135">
        <f t="shared" si="8"/>
        <v>0</v>
      </c>
      <c r="M18" s="135">
        <f t="shared" si="8"/>
        <v>-0.35</v>
      </c>
      <c r="N18" s="135">
        <f t="shared" si="8"/>
        <v>-0.35</v>
      </c>
      <c r="O18" s="135">
        <f t="shared" si="8"/>
        <v>-0.35</v>
      </c>
      <c r="P18" s="135">
        <f t="shared" si="8"/>
        <v>-0.35</v>
      </c>
      <c r="Q18" s="135">
        <f t="shared" si="8"/>
        <v>-0.35</v>
      </c>
      <c r="R18" s="135">
        <f t="shared" si="8"/>
        <v>0</v>
      </c>
      <c r="S18" s="135">
        <f t="shared" si="8"/>
        <v>0</v>
      </c>
      <c r="T18" s="135">
        <f t="shared" si="8"/>
        <v>-0.35</v>
      </c>
      <c r="U18" s="135">
        <f t="shared" si="8"/>
        <v>-0.35</v>
      </c>
      <c r="V18" s="135">
        <f t="shared" si="8"/>
        <v>-0.35</v>
      </c>
      <c r="W18" s="135">
        <f t="shared" si="8"/>
        <v>-0.35</v>
      </c>
      <c r="X18" s="135">
        <f t="shared" si="8"/>
        <v>-0.35</v>
      </c>
      <c r="Y18" s="135">
        <f t="shared" si="8"/>
        <v>0</v>
      </c>
      <c r="Z18" s="135">
        <f t="shared" si="8"/>
        <v>0</v>
      </c>
      <c r="AA18" s="135">
        <f t="shared" si="8"/>
        <v>-0.35</v>
      </c>
      <c r="AB18" s="135">
        <f t="shared" si="8"/>
        <v>-0.35</v>
      </c>
      <c r="AC18" s="135">
        <f t="shared" si="8"/>
        <v>-0.35</v>
      </c>
      <c r="AD18" s="135">
        <f t="shared" si="8"/>
        <v>-0.35</v>
      </c>
      <c r="AE18" s="135">
        <f>ROUND(AE14-AE17,8)</f>
        <v>-0.35</v>
      </c>
      <c r="AF18" s="135">
        <f>ROUND(AF14-AF17,8)</f>
        <v>0</v>
      </c>
      <c r="AG18" s="135">
        <f>ROUND(AG14-AG17,8)</f>
        <v>0</v>
      </c>
      <c r="AH18" s="135">
        <f>ROUND(AH14-AH17,8)</f>
        <v>0</v>
      </c>
      <c r="AI18" s="135">
        <f>ROUND(AI14-AI17,8)</f>
        <v>0</v>
      </c>
      <c r="AJ18" s="136">
        <f t="shared" si="3"/>
        <v>-6.9999999999999973</v>
      </c>
      <c r="AK18" s="137" t="s">
        <v>418</v>
      </c>
      <c r="AL18" s="121" t="s">
        <v>419</v>
      </c>
      <c r="AM18" s="121"/>
      <c r="AN18" s="122"/>
      <c r="AO18" s="122"/>
    </row>
    <row r="19" spans="1:46" s="138" customFormat="1" ht="24" x14ac:dyDescent="0.2">
      <c r="A19" s="781"/>
      <c r="B19" s="139" t="s">
        <v>420</v>
      </c>
      <c r="C19" s="1049" t="str">
        <f>Januar!C19</f>
        <v>Arbeitszeit-Saldo</v>
      </c>
      <c r="D19" s="903">
        <f ca="1">Januar!AJ19</f>
        <v>0</v>
      </c>
      <c r="E19" s="1050">
        <f ca="1">IF(E4&lt;&gt;"",IF(DATE($D$2,MONTH($C$2),E$4)&lt;=Eingabeblatt!$I$8,IF(OR(AND(E$86="JA",E14&gt;E16),AND(E86="JA",Eingabeblatt!$I$10="NEIN")),D19,D19+E18),IF(D19=0,0,IF(OR(COUNT(E7:E12,E22:E38)&gt;0,AND(COUNT(E7:E12,E22:E38)=0,E16=0)),IF(OR(AND(E$86="JA",E14&gt;E16),AND(E86="JA",Eingabeblatt!$I$10="NEIN")),D19,D19+E18),0))),D19)</f>
        <v>0</v>
      </c>
      <c r="F19" s="1051">
        <f ca="1">IF(F4&lt;&gt;"",IF(DATE($D$2,MONTH($C$2),F$4)&lt;=Eingabeblatt!$I$8,IF(OR(AND(F$86="JA",F14&gt;F16),AND(F86="JA",Eingabeblatt!$I$10="NEIN")),E19,E19+F18),IF(E19=0,0,IF(OR(COUNT(F7:F12,F22:F38)&gt;0,AND(COUNT(F7:F12,F22:F38)=0,F16=0)),IF(OR(AND(F$86="JA",F14&gt;F16),AND(F86="JA",Eingabeblatt!$I$10="NEIN")),E19,E19+F18),0))),E19)</f>
        <v>0</v>
      </c>
      <c r="G19" s="1051">
        <f ca="1">IF(G4&lt;&gt;"",IF(DATE($D$2,MONTH($C$2),G$4)&lt;=Eingabeblatt!$I$8,IF(OR(AND(G$86="JA",G14&gt;G16),AND(G86="JA",Eingabeblatt!$I$10="NEIN")),F19,F19+G18),IF(F19=0,0,IF(OR(COUNT(G7:G12,G22:G38)&gt;0,AND(COUNT(G7:G12,G22:G38)=0,G16=0)),IF(OR(AND(G$86="JA",G14&gt;G16),AND(G86="JA",Eingabeblatt!$I$10="NEIN")),F19,F19+G18),0))),F19)</f>
        <v>0</v>
      </c>
      <c r="H19" s="1051">
        <f ca="1">IF(H4&lt;&gt;"",IF(DATE($D$2,MONTH($C$2),H$4)&lt;=Eingabeblatt!$I$8,IF(OR(AND(H$86="JA",H14&gt;H16),AND(H86="JA",Eingabeblatt!$I$10="NEIN")),G19,G19+H18),IF(G19=0,0,IF(OR(COUNT(H7:H12,H22:H38)&gt;0,AND(COUNT(H7:H12,H22:H38)=0,H16=0)),IF(OR(AND(H$86="JA",H14&gt;H16),AND(H86="JA",Eingabeblatt!$I$10="NEIN")),G19,G19+H18),0))),G19)</f>
        <v>0</v>
      </c>
      <c r="I19" s="1051">
        <f ca="1">IF(I4&lt;&gt;"",IF(DATE($D$2,MONTH($C$2),I$4)&lt;=Eingabeblatt!$I$8,IF(OR(AND(I$86="JA",I14&gt;I16),AND(I86="JA",Eingabeblatt!$I$10="NEIN")),H19,H19+I18),IF(H19=0,0,IF(OR(COUNT(I7:I12,I22:I38)&gt;0,AND(COUNT(I7:I12,I22:I38)=0,I16=0)),IF(OR(AND(I$86="JA",I14&gt;I16),AND(I86="JA",Eingabeblatt!$I$10="NEIN")),H19,H19+I18),0))),H19)</f>
        <v>0</v>
      </c>
      <c r="J19" s="1051">
        <f ca="1">IF(J4&lt;&gt;"",IF(DATE($D$2,MONTH($C$2),J$4)&lt;=Eingabeblatt!$I$8,IF(OR(AND(J$86="JA",J14&gt;J16),AND(J86="JA",Eingabeblatt!$I$10="NEIN")),I19,I19+J18),IF(I19=0,0,IF(OR(COUNT(J7:J12,J22:J38)&gt;0,AND(COUNT(J7:J12,J22:J38)=0,J16=0)),IF(OR(AND(J$86="JA",J14&gt;J16),AND(J86="JA",Eingabeblatt!$I$10="NEIN")),I19,I19+J18),0))),I19)</f>
        <v>0</v>
      </c>
      <c r="K19" s="1051">
        <f ca="1">IF(K4&lt;&gt;"",IF(DATE($D$2,MONTH($C$2),K$4)&lt;=Eingabeblatt!$I$8,IF(OR(AND(K$86="JA",K14&gt;K16),AND(K86="JA",Eingabeblatt!$I$10="NEIN")),J19,J19+K18),IF(J19=0,0,IF(OR(COUNT(K7:K12,K22:K38)&gt;0,AND(COUNT(K7:K12,K22:K38)=0,K16=0)),IF(OR(AND(K$86="JA",K14&gt;K16),AND(K86="JA",Eingabeblatt!$I$10="NEIN")),J19,J19+K18),0))),J19)</f>
        <v>0</v>
      </c>
      <c r="L19" s="1051">
        <f ca="1">IF(L4&lt;&gt;"",IF(DATE($D$2,MONTH($C$2),L$4)&lt;=Eingabeblatt!$I$8,IF(OR(AND(L$86="JA",L14&gt;L16),AND(L86="JA",Eingabeblatt!$I$10="NEIN")),K19,K19+L18),IF(K19=0,0,IF(OR(COUNT(L7:L12,L22:L38)&gt;0,AND(COUNT(L7:L12,L22:L38)=0,L16=0)),IF(OR(AND(L$86="JA",L14&gt;L16),AND(L86="JA",Eingabeblatt!$I$10="NEIN")),K19,K19+L18),0))),K19)</f>
        <v>0</v>
      </c>
      <c r="M19" s="1051">
        <f ca="1">IF(M4&lt;&gt;"",IF(DATE($D$2,MONTH($C$2),M$4)&lt;=Eingabeblatt!$I$8,IF(OR(AND(M$86="JA",M14&gt;M16),AND(M86="JA",Eingabeblatt!$I$10="NEIN")),L19,L19+M18),IF(L19=0,0,IF(OR(COUNT(M7:M12,M22:M38)&gt;0,AND(COUNT(M7:M12,M22:M38)=0,M16=0)),IF(OR(AND(M$86="JA",M14&gt;M16),AND(M86="JA",Eingabeblatt!$I$10="NEIN")),L19,L19+M18),0))),L19)</f>
        <v>0</v>
      </c>
      <c r="N19" s="1051">
        <f ca="1">IF(N4&lt;&gt;"",IF(DATE($D$2,MONTH($C$2),N$4)&lt;=Eingabeblatt!$I$8,IF(OR(AND(N$86="JA",N14&gt;N16),AND(N86="JA",Eingabeblatt!$I$10="NEIN")),M19,M19+N18),IF(M19=0,0,IF(OR(COUNT(N7:N12,N22:N38)&gt;0,AND(COUNT(N7:N12,N22:N38)=0,N16=0)),IF(OR(AND(N$86="JA",N14&gt;N16),AND(N86="JA",Eingabeblatt!$I$10="NEIN")),M19,M19+N18),0))),M19)</f>
        <v>0</v>
      </c>
      <c r="O19" s="1051">
        <f ca="1">IF(O4&lt;&gt;"",IF(DATE($D$2,MONTH($C$2),O$4)&lt;=Eingabeblatt!$I$8,IF(OR(AND(O$86="JA",O14&gt;O16),AND(O86="JA",Eingabeblatt!$I$10="NEIN")),N19,N19+O18),IF(N19=0,0,IF(OR(COUNT(O7:O12,O22:O38)&gt;0,AND(COUNT(O7:O12,O22:O38)=0,O16=0)),IF(OR(AND(O$86="JA",O14&gt;O16),AND(O86="JA",Eingabeblatt!$I$10="NEIN")),N19,N19+O18),0))),N19)</f>
        <v>0</v>
      </c>
      <c r="P19" s="1051">
        <f ca="1">IF(P4&lt;&gt;"",IF(DATE($D$2,MONTH($C$2),P$4)&lt;=Eingabeblatt!$I$8,IF(OR(AND(P$86="JA",P14&gt;P16),AND(P86="JA",Eingabeblatt!$I$10="NEIN")),O19,O19+P18),IF(O19=0,0,IF(OR(COUNT(P7:P12,P22:P38)&gt;0,AND(COUNT(P7:P12,P22:P38)=0,P16=0)),IF(OR(AND(P$86="JA",P14&gt;P16),AND(P86="JA",Eingabeblatt!$I$10="NEIN")),O19,O19+P18),0))),O19)</f>
        <v>0</v>
      </c>
      <c r="Q19" s="1051">
        <f ca="1">IF(Q4&lt;&gt;"",IF(DATE($D$2,MONTH($C$2),Q$4)&lt;=Eingabeblatt!$I$8,IF(OR(AND(Q$86="JA",Q14&gt;Q16),AND(Q86="JA",Eingabeblatt!$I$10="NEIN")),P19,P19+Q18),IF(P19=0,0,IF(OR(COUNT(Q7:Q12,Q22:Q38)&gt;0,AND(COUNT(Q7:Q12,Q22:Q38)=0,Q16=0)),IF(OR(AND(Q$86="JA",Q14&gt;Q16),AND(Q86="JA",Eingabeblatt!$I$10="NEIN")),P19,P19+Q18),0))),P19)</f>
        <v>0</v>
      </c>
      <c r="R19" s="1051">
        <f ca="1">IF(R4&lt;&gt;"",IF(DATE($D$2,MONTH($C$2),R$4)&lt;=Eingabeblatt!$I$8,IF(OR(AND(R$86="JA",R14&gt;R16),AND(R86="JA",Eingabeblatt!$I$10="NEIN")),Q19,Q19+R18),IF(Q19=0,0,IF(OR(COUNT(R7:R12,R22:R38)&gt;0,AND(COUNT(R7:R12,R22:R38)=0,R16=0)),IF(OR(AND(R$86="JA",R14&gt;R16),AND(R86="JA",Eingabeblatt!$I$10="NEIN")),Q19,Q19+R18),0))),Q19)</f>
        <v>0</v>
      </c>
      <c r="S19" s="1051">
        <f ca="1">IF(S4&lt;&gt;"",IF(DATE($D$2,MONTH($C$2),S$4)&lt;=Eingabeblatt!$I$8,IF(OR(AND(S$86="JA",S14&gt;S16),AND(S86="JA",Eingabeblatt!$I$10="NEIN")),R19,R19+S18),IF(R19=0,0,IF(OR(COUNT(S7:S12,S22:S38)&gt;0,AND(COUNT(S7:S12,S22:S38)=0,S16=0)),IF(OR(AND(S$86="JA",S14&gt;S16),AND(S86="JA",Eingabeblatt!$I$10="NEIN")),R19,R19+S18),0))),R19)</f>
        <v>0</v>
      </c>
      <c r="T19" s="1051">
        <f ca="1">IF(T4&lt;&gt;"",IF(DATE($D$2,MONTH($C$2),T$4)&lt;=Eingabeblatt!$I$8,IF(OR(AND(T$86="JA",T14&gt;T16),AND(T86="JA",Eingabeblatt!$I$10="NEIN")),S19,S19+T18),IF(S19=0,0,IF(OR(COUNT(T7:T12,T22:T38)&gt;0,AND(COUNT(T7:T12,T22:T38)=0,T16=0)),IF(OR(AND(T$86="JA",T14&gt;T16),AND(T86="JA",Eingabeblatt!$I$10="NEIN")),S19,S19+T18),0))),S19)</f>
        <v>0</v>
      </c>
      <c r="U19" s="1051">
        <f ca="1">IF(U4&lt;&gt;"",IF(DATE($D$2,MONTH($C$2),U$4)&lt;=Eingabeblatt!$I$8,IF(OR(AND(U$86="JA",U14&gt;U16),AND(U86="JA",Eingabeblatt!$I$10="NEIN")),T19,T19+U18),IF(T19=0,0,IF(OR(COUNT(U7:U12,U22:U38)&gt;0,AND(COUNT(U7:U12,U22:U38)=0,U16=0)),IF(OR(AND(U$86="JA",U14&gt;U16),AND(U86="JA",Eingabeblatt!$I$10="NEIN")),T19,T19+U18),0))),T19)</f>
        <v>0</v>
      </c>
      <c r="V19" s="1051">
        <f ca="1">IF(V4&lt;&gt;"",IF(DATE($D$2,MONTH($C$2),V$4)&lt;=Eingabeblatt!$I$8,IF(OR(AND(V$86="JA",V14&gt;V16),AND(V86="JA",Eingabeblatt!$I$10="NEIN")),U19,U19+V18),IF(U19=0,0,IF(OR(COUNT(V7:V12,V22:V38)&gt;0,AND(COUNT(V7:V12,V22:V38)=0,V16=0)),IF(OR(AND(V$86="JA",V14&gt;V16),AND(V86="JA",Eingabeblatt!$I$10="NEIN")),U19,U19+V18),0))),U19)</f>
        <v>0</v>
      </c>
      <c r="W19" s="1051">
        <f ca="1">IF(W4&lt;&gt;"",IF(DATE($D$2,MONTH($C$2),W$4)&lt;=Eingabeblatt!$I$8,IF(OR(AND(W$86="JA",W14&gt;W16),AND(W86="JA",Eingabeblatt!$I$10="NEIN")),V19,V19+W18),IF(V19=0,0,IF(OR(COUNT(W7:W12,W22:W38)&gt;0,AND(COUNT(W7:W12,W22:W38)=0,W16=0)),IF(OR(AND(W$86="JA",W14&gt;W16),AND(W86="JA",Eingabeblatt!$I$10="NEIN")),V19,V19+W18),0))),V19)</f>
        <v>0</v>
      </c>
      <c r="X19" s="1051">
        <f ca="1">IF(X4&lt;&gt;"",IF(DATE($D$2,MONTH($C$2),X$4)&lt;=Eingabeblatt!$I$8,IF(OR(AND(X$86="JA",X14&gt;X16),AND(X86="JA",Eingabeblatt!$I$10="NEIN")),W19,W19+X18),IF(W19=0,0,IF(OR(COUNT(X7:X12,X22:X38)&gt;0,AND(COUNT(X7:X12,X22:X38)=0,X16=0)),IF(OR(AND(X$86="JA",X14&gt;X16),AND(X86="JA",Eingabeblatt!$I$10="NEIN")),W19,W19+X18),0))),W19)</f>
        <v>0</v>
      </c>
      <c r="Y19" s="1051">
        <f ca="1">IF(Y4&lt;&gt;"",IF(DATE($D$2,MONTH($C$2),Y$4)&lt;=Eingabeblatt!$I$8,IF(OR(AND(Y$86="JA",Y14&gt;Y16),AND(Y86="JA",Eingabeblatt!$I$10="NEIN")),X19,X19+Y18),IF(X19=0,0,IF(OR(COUNT(Y7:Y12,Y22:Y38)&gt;0,AND(COUNT(Y7:Y12,Y22:Y38)=0,Y16=0)),IF(OR(AND(Y$86="JA",Y14&gt;Y16),AND(Y86="JA",Eingabeblatt!$I$10="NEIN")),X19,X19+Y18),0))),X19)</f>
        <v>0</v>
      </c>
      <c r="Z19" s="1051">
        <f ca="1">IF(Z4&lt;&gt;"",IF(DATE($D$2,MONTH($C$2),Z$4)&lt;=Eingabeblatt!$I$8,IF(OR(AND(Z$86="JA",Z14&gt;Z16),AND(Z86="JA",Eingabeblatt!$I$10="NEIN")),Y19,Y19+Z18),IF(Y19=0,0,IF(OR(COUNT(Z7:Z12,Z22:Z38)&gt;0,AND(COUNT(Z7:Z12,Z22:Z38)=0,Z16=0)),IF(OR(AND(Z$86="JA",Z14&gt;Z16),AND(Z86="JA",Eingabeblatt!$I$10="NEIN")),Y19,Y19+Z18),0))),Y19)</f>
        <v>0</v>
      </c>
      <c r="AA19" s="1051">
        <f ca="1">IF(AA4&lt;&gt;"",IF(DATE($D$2,MONTH($C$2),AA$4)&lt;=Eingabeblatt!$I$8,IF(OR(AND(AA$86="JA",AA14&gt;AA16),AND(AA86="JA",Eingabeblatt!$I$10="NEIN")),Z19,Z19+AA18),IF(Z19=0,0,IF(OR(COUNT(AA7:AA12,AA22:AA38)&gt;0,AND(COUNT(AA7:AA12,AA22:AA38)=0,AA16=0)),IF(OR(AND(AA$86="JA",AA14&gt;AA16),AND(AA86="JA",Eingabeblatt!$I$10="NEIN")),Z19,Z19+AA18),0))),Z19)</f>
        <v>0</v>
      </c>
      <c r="AB19" s="1051">
        <f ca="1">IF(AB4&lt;&gt;"",IF(DATE($D$2,MONTH($C$2),AB$4)&lt;=Eingabeblatt!$I$8,IF(OR(AND(AB$86="JA",AB14&gt;AB16),AND(AB86="JA",Eingabeblatt!$I$10="NEIN")),AA19,AA19+AB18),IF(AA19=0,0,IF(OR(COUNT(AB7:AB12,AB22:AB38)&gt;0,AND(COUNT(AB7:AB12,AB22:AB38)=0,AB16=0)),IF(OR(AND(AB$86="JA",AB14&gt;AB16),AND(AB86="JA",Eingabeblatt!$I$10="NEIN")),AA19,AA19+AB18),0))),AA19)</f>
        <v>0</v>
      </c>
      <c r="AC19" s="1051">
        <f ca="1">IF(AC4&lt;&gt;"",IF(DATE($D$2,MONTH($C$2),AC$4)&lt;=Eingabeblatt!$I$8,IF(OR(AND(AC$86="JA",AC14&gt;AC16),AND(AC86="JA",Eingabeblatt!$I$10="NEIN")),AB19,AB19+AC18),IF(AB19=0,0,IF(OR(COUNT(AC7:AC12,AC22:AC38)&gt;0,AND(COUNT(AC7:AC12,AC22:AC38)=0,AC16=0)),IF(OR(AND(AC$86="JA",AC14&gt;AC16),AND(AC86="JA",Eingabeblatt!$I$10="NEIN")),AB19,AB19+AC18),0))),AB19)</f>
        <v>0</v>
      </c>
      <c r="AD19" s="1051">
        <f ca="1">IF(AD4&lt;&gt;"",IF(DATE($D$2,MONTH($C$2),AD$4)&lt;=Eingabeblatt!$I$8,IF(OR(AND(AD$86="JA",AD14&gt;AD16),AND(AD86="JA",Eingabeblatt!$I$10="NEIN")),AC19,AC19+AD18),IF(AC19=0,0,IF(OR(COUNT(AD7:AD12,AD22:AD38)&gt;0,AND(COUNT(AD7:AD12,AD22:AD38)=0,AD16=0)),IF(OR(AND(AD$86="JA",AD14&gt;AD16),AND(AD86="JA",Eingabeblatt!$I$10="NEIN")),AC19,AC19+AD18),0))),AC19)</f>
        <v>0</v>
      </c>
      <c r="AE19" s="1051">
        <f ca="1">IF(AE4&lt;&gt;"",IF(DATE($D$2,MONTH($C$2),AE$4)&lt;=Eingabeblatt!$I$8,IF(OR(AND(AE$86="JA",AE14&gt;AE16),AND(AE86="JA",Eingabeblatt!$I$10="NEIN")),AD19,AD19+AE18),IF(AD19=0,0,IF(OR(COUNT(AE7:AE12,AE22:AE38)&gt;0,AND(COUNT(AE7:AE12,AE22:AE38)=0,AE16=0)),IF(OR(AND(AE$86="JA",AE14&gt;AE16),AND(AE86="JA",Eingabeblatt!$I$10="NEIN")),AD19,AD19+AE18),0))),AD19)</f>
        <v>0</v>
      </c>
      <c r="AF19" s="1051">
        <f ca="1">IF(AF4&lt;&gt;"",IF(DATE($D$2,MONTH($C$2),AF$4)&lt;=Eingabeblatt!$I$8,IF(OR(AND(AF$86="JA",AF14&gt;AF16),AND(AF86="JA",Eingabeblatt!$I$10="NEIN")),AE19,AE19+AF18),IF(AE19=0,0,IF(OR(COUNT(AF7:AF12,AF22:AF38)&gt;0,AND(COUNT(AF7:AF12,AF22:AF38)=0,AF16=0)),IF(OR(AND(AF$86="JA",AF14&gt;AF16),AND(AF86="JA",Eingabeblatt!$I$10="NEIN")),AE19,AE19+AF18),0))),AE19)</f>
        <v>0</v>
      </c>
      <c r="AG19" s="1051">
        <f ca="1">IF(AG4&lt;&gt;"",IF(DATE($D$2,MONTH($C$2),AG$4)&lt;=Eingabeblatt!$I$8,IF(OR(AND(AG$86="JA",AG14&gt;AG16),AND(AG86="JA",Eingabeblatt!$I$10="NEIN")),AF19,AF19+AG18),IF(AF19=0,0,IF(OR(COUNT(AG7:AG12,AG22:AG38)&gt;0,AND(COUNT(AG7:AG12,AG22:AG38)=0,AG16=0)),IF(OR(AND(AG$86="JA",AG14&gt;AG16),AND(AG86="JA",Eingabeblatt!$I$10="NEIN")),AF19,AF19+AG18),0))),AF19)</f>
        <v>0</v>
      </c>
      <c r="AH19" s="1051">
        <f ca="1">IF(AH4&lt;&gt;"",IF(DATE($D$2,MONTH($C$2),AH$4)&lt;=Eingabeblatt!$I$8,IF(OR(AND(AH$86="JA",AH14&gt;AH16),AND(AH86="JA",Eingabeblatt!$I$10="NEIN")),AG19,AG19+AH18),IF(AG19=0,0,IF(OR(COUNT(AH7:AH12,AH22:AH38)&gt;0,AND(COUNT(AH7:AH12,AH22:AH38)=0,AH16=0)),IF(OR(AND(AH$86="JA",AH14&gt;AH16),AND(AH86="JA",Eingabeblatt!$I$10="NEIN")),AG19,AG19+AH18),0))),AG19)</f>
        <v>0</v>
      </c>
      <c r="AI19" s="1052">
        <f ca="1">IF(AI4&lt;&gt;"",IF(DATE($D$2,MONTH($C$2),AI$4)&lt;=Eingabeblatt!$I$8,IF(OR(AND(AI$86="JA",AI14&gt;AI16),AND(AI86="JA",Eingabeblatt!$I$10="NEIN")),AH19,AH19+AI18),IF(AH19=0,0,IF(OR(COUNT(AI7:AI12,AI22:AI38)&gt;0,AND(COUNT(AI7:AI12,AI22:AI38)=0,AI16=0)),IF(OR(AND(AI$86="JA",AI14&gt;AI16),AND(AI86="JA",Eingabeblatt!$I$10="NEIN")),AH19,AH19+AI18),0))),AH19)</f>
        <v>0</v>
      </c>
      <c r="AJ19" s="1053">
        <f ca="1">AI19</f>
        <v>0</v>
      </c>
      <c r="AK19" s="904">
        <f ca="1">AI19</f>
        <v>0</v>
      </c>
      <c r="AL19" s="905" t="s">
        <v>422</v>
      </c>
      <c r="AM19" s="905"/>
      <c r="AN19" s="906"/>
      <c r="AO19" s="781"/>
      <c r="AP19" s="781"/>
      <c r="AQ19" s="781"/>
      <c r="AR19" s="781"/>
      <c r="AS19" s="907"/>
      <c r="AT19" s="781"/>
    </row>
    <row r="20" spans="1:46" ht="22.5" hidden="1" customHeight="1" outlineLevel="1" x14ac:dyDescent="0.2">
      <c r="B20" s="143"/>
      <c r="C20" s="953" t="str">
        <f>Januar!C20</f>
        <v>Feiertagssaldo</v>
      </c>
      <c r="D20" s="954">
        <f>Januar!AJ20</f>
        <v>0</v>
      </c>
      <c r="E20" s="955">
        <f t="shared" ref="E20:AI20" si="9">IF(VLOOKUP(DATE($D$2,MONTH($C$2),E$4),Ferienanspruch,3,TRUE)=100,D20-E21,IF(VLOOKUP(DATE($D$2,MONTH($C$2),E$4),Feiertagsanspruch,6,TRUE)*24&lt;Normtagesarbeitszeit*24,IF((E17-E15)&lt;0,D20-E21+(E15-E17),IF(E17&gt;0,D20-E21,D20-E21+E15)),IF((E17-E15)&lt;0,D20-E21+(E15-E17),IF(E17&gt;0,D20-E21,D20-E21+E15))))</f>
        <v>0</v>
      </c>
      <c r="F20" s="956">
        <f t="shared" si="9"/>
        <v>0</v>
      </c>
      <c r="G20" s="956">
        <f t="shared" si="9"/>
        <v>0</v>
      </c>
      <c r="H20" s="956">
        <f t="shared" si="9"/>
        <v>0</v>
      </c>
      <c r="I20" s="956">
        <f t="shared" si="9"/>
        <v>0</v>
      </c>
      <c r="J20" s="956">
        <f t="shared" si="9"/>
        <v>0</v>
      </c>
      <c r="K20" s="956">
        <f t="shared" si="9"/>
        <v>0</v>
      </c>
      <c r="L20" s="956">
        <f t="shared" si="9"/>
        <v>0</v>
      </c>
      <c r="M20" s="956">
        <f t="shared" si="9"/>
        <v>0</v>
      </c>
      <c r="N20" s="956">
        <f t="shared" si="9"/>
        <v>0</v>
      </c>
      <c r="O20" s="956">
        <f t="shared" si="9"/>
        <v>0</v>
      </c>
      <c r="P20" s="956">
        <f t="shared" si="9"/>
        <v>0</v>
      </c>
      <c r="Q20" s="956">
        <f t="shared" si="9"/>
        <v>0</v>
      </c>
      <c r="R20" s="956">
        <f t="shared" si="9"/>
        <v>0</v>
      </c>
      <c r="S20" s="956">
        <f t="shared" si="9"/>
        <v>0</v>
      </c>
      <c r="T20" s="956">
        <f t="shared" si="9"/>
        <v>0</v>
      </c>
      <c r="U20" s="956">
        <f t="shared" si="9"/>
        <v>0</v>
      </c>
      <c r="V20" s="956">
        <f t="shared" si="9"/>
        <v>0</v>
      </c>
      <c r="W20" s="956">
        <f t="shared" si="9"/>
        <v>0</v>
      </c>
      <c r="X20" s="956">
        <f t="shared" si="9"/>
        <v>0</v>
      </c>
      <c r="Y20" s="956">
        <f t="shared" si="9"/>
        <v>0</v>
      </c>
      <c r="Z20" s="956">
        <f t="shared" si="9"/>
        <v>0</v>
      </c>
      <c r="AA20" s="956">
        <f t="shared" si="9"/>
        <v>0</v>
      </c>
      <c r="AB20" s="956">
        <f t="shared" si="9"/>
        <v>0</v>
      </c>
      <c r="AC20" s="956">
        <f t="shared" si="9"/>
        <v>0</v>
      </c>
      <c r="AD20" s="956">
        <f t="shared" si="9"/>
        <v>0</v>
      </c>
      <c r="AE20" s="956">
        <f t="shared" si="9"/>
        <v>0</v>
      </c>
      <c r="AF20" s="956">
        <f t="shared" si="9"/>
        <v>0</v>
      </c>
      <c r="AG20" s="956">
        <f t="shared" si="9"/>
        <v>0</v>
      </c>
      <c r="AH20" s="956">
        <f t="shared" si="9"/>
        <v>0</v>
      </c>
      <c r="AI20" s="957">
        <f t="shared" si="9"/>
        <v>0</v>
      </c>
      <c r="AJ20" s="142">
        <f>AI20</f>
        <v>0</v>
      </c>
      <c r="AK20" s="912">
        <f>AJ20</f>
        <v>0</v>
      </c>
      <c r="AL20" s="141" t="s">
        <v>423</v>
      </c>
      <c r="AM20" s="91"/>
      <c r="AN20" s="113"/>
      <c r="AO20" s="113"/>
      <c r="AP20" s="113"/>
      <c r="AQ20" s="89"/>
      <c r="AR20" s="89"/>
    </row>
    <row r="21" spans="1:46" s="88" customFormat="1" hidden="1" outlineLevel="1" x14ac:dyDescent="0.2">
      <c r="A21" s="88" t="s">
        <v>424</v>
      </c>
      <c r="B21" s="143"/>
      <c r="C21" s="1054" t="str">
        <f>Januar!C21</f>
        <v>Komp.Feiertg.f.Teilzeiter</v>
      </c>
      <c r="D21" s="1055"/>
      <c r="E21" s="1056"/>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8"/>
      <c r="AJ21" s="1059">
        <f>SUM(D21:AI21)</f>
        <v>0</v>
      </c>
      <c r="AK21" s="1060">
        <f>AJ21</f>
        <v>0</v>
      </c>
      <c r="AL21" s="144" t="s">
        <v>359</v>
      </c>
      <c r="AM21" s="145"/>
      <c r="AN21" s="146"/>
      <c r="AO21" s="146"/>
      <c r="AP21" s="146"/>
      <c r="AQ21" s="147"/>
      <c r="AR21" s="147"/>
      <c r="AT21" s="8"/>
    </row>
    <row r="22" spans="1:46" s="88" customFormat="1" collapsed="1" x14ac:dyDescent="0.2">
      <c r="A22" s="148"/>
      <c r="B22" s="143"/>
      <c r="C22" s="149" t="str">
        <f>Januar!C22</f>
        <v>Ferienbezug</v>
      </c>
      <c r="D22" s="150">
        <f>Januar!AK22</f>
        <v>8.0500000000000007</v>
      </c>
      <c r="E22" s="913"/>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322"/>
      <c r="AJ22" s="151">
        <f>SUM(E22:AI22)</f>
        <v>0</v>
      </c>
      <c r="AK22" s="152">
        <f>ROUND(D22-AJ22,8)</f>
        <v>8.0500000000000007</v>
      </c>
      <c r="AL22" s="144" t="s">
        <v>425</v>
      </c>
      <c r="AM22" s="145" t="s">
        <v>426</v>
      </c>
      <c r="AN22" s="146"/>
      <c r="AO22" s="146"/>
      <c r="AP22" s="146"/>
      <c r="AQ22" s="147"/>
      <c r="AR22" s="147"/>
    </row>
    <row r="23" spans="1:46" s="88" customFormat="1" ht="22.5" hidden="1" customHeight="1" outlineLevel="1" x14ac:dyDescent="0.2">
      <c r="A23" s="148"/>
      <c r="B23" s="153">
        <f>Eingabeblatt!E29</f>
        <v>0</v>
      </c>
      <c r="C23" s="154" t="str">
        <f>Januar!C23</f>
        <v>Kompens. Arbeitszeit</v>
      </c>
      <c r="D23" s="155">
        <f>Januar!AK23</f>
        <v>0</v>
      </c>
      <c r="E23" s="913"/>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322"/>
      <c r="AJ23" s="151">
        <f>SUM(E23:AI23)</f>
        <v>0</v>
      </c>
      <c r="AK23" s="152">
        <f>IF(B23="",0,ROUND(B23+D23-AJ23,8))</f>
        <v>0</v>
      </c>
      <c r="AL23" s="144" t="s">
        <v>425</v>
      </c>
      <c r="AM23" s="145"/>
      <c r="AN23" s="146"/>
      <c r="AO23" s="692"/>
      <c r="AP23" s="146"/>
      <c r="AQ23" s="147"/>
      <c r="AR23" s="147"/>
    </row>
    <row r="24" spans="1:46" s="88" customFormat="1" ht="22.5" hidden="1" customHeight="1" outlineLevel="1" x14ac:dyDescent="0.2">
      <c r="A24" s="148" t="s">
        <v>424</v>
      </c>
      <c r="B24" s="156"/>
      <c r="C24" s="154" t="str">
        <f>Januar!C24</f>
        <v>Kompens. Überzeit</v>
      </c>
      <c r="D24" s="150">
        <f>Januar!AK24</f>
        <v>0</v>
      </c>
      <c r="E24" s="913"/>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322"/>
      <c r="AJ24" s="151">
        <f>SUM(E24:AI24)</f>
        <v>0</v>
      </c>
      <c r="AK24" s="152">
        <f>ROUND(D24+AJ85-AJ24,8)</f>
        <v>0</v>
      </c>
      <c r="AL24" s="157" t="s">
        <v>428</v>
      </c>
      <c r="AM24" s="145" t="s">
        <v>429</v>
      </c>
      <c r="AN24" s="146"/>
      <c r="AO24" s="692"/>
      <c r="AP24" s="146"/>
      <c r="AQ24" s="147"/>
      <c r="AR24" s="147"/>
    </row>
    <row r="25" spans="1:46" s="88" customFormat="1" collapsed="1" x14ac:dyDescent="0.2">
      <c r="A25" s="148"/>
      <c r="B25" s="156"/>
      <c r="C25" s="154" t="str">
        <f>Januar!C25</f>
        <v>Krankheit</v>
      </c>
      <c r="D25" s="158">
        <f>Januar!AK25</f>
        <v>0</v>
      </c>
      <c r="E25" s="913"/>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322"/>
      <c r="AJ25" s="151">
        <f>SUM(E25:AI25)</f>
        <v>0</v>
      </c>
      <c r="AK25" s="152">
        <f t="shared" ref="AK25:AK30" si="10">ROUND(B25+D25+AJ25,8)</f>
        <v>0</v>
      </c>
      <c r="AL25" s="144" t="s">
        <v>359</v>
      </c>
      <c r="AM25" s="145"/>
      <c r="AN25" s="146"/>
      <c r="AO25" s="146"/>
      <c r="AP25" s="147"/>
      <c r="AQ25" s="147"/>
      <c r="AR25" s="147"/>
    </row>
    <row r="26" spans="1:46" s="88" customFormat="1" x14ac:dyDescent="0.2">
      <c r="A26" s="148"/>
      <c r="B26" s="156"/>
      <c r="C26" s="154" t="str">
        <f>Januar!C26</f>
        <v>Unfall</v>
      </c>
      <c r="D26" s="158">
        <f>Januar!AK26</f>
        <v>0</v>
      </c>
      <c r="E26" s="913"/>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322"/>
      <c r="AJ26" s="151">
        <f>SUM(E26:AI26)</f>
        <v>0</v>
      </c>
      <c r="AK26" s="152">
        <f t="shared" si="10"/>
        <v>0</v>
      </c>
      <c r="AL26" s="144" t="s">
        <v>359</v>
      </c>
      <c r="AM26" s="145" t="s">
        <v>430</v>
      </c>
      <c r="AN26" s="146"/>
      <c r="AO26" s="146"/>
      <c r="AP26" s="146"/>
      <c r="AQ26" s="147"/>
      <c r="AR26" s="147"/>
    </row>
    <row r="27" spans="1:46" s="88" customFormat="1" x14ac:dyDescent="0.2">
      <c r="A27" s="148"/>
      <c r="B27" s="156"/>
      <c r="C27" s="154" t="str">
        <f>Januar!C27</f>
        <v>Militär / Zivildienst</v>
      </c>
      <c r="D27" s="158">
        <f>Januar!AK27</f>
        <v>0</v>
      </c>
      <c r="E27" s="913"/>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322"/>
      <c r="AJ27" s="151">
        <f t="shared" ref="AJ27:AJ35" si="11">SUM(E27:AI27)</f>
        <v>0</v>
      </c>
      <c r="AK27" s="152">
        <f t="shared" si="10"/>
        <v>0</v>
      </c>
      <c r="AL27" s="144" t="s">
        <v>359</v>
      </c>
      <c r="AM27" s="145"/>
      <c r="AN27" s="146"/>
      <c r="AO27" s="146"/>
      <c r="AP27" s="147"/>
      <c r="AQ27" s="147"/>
      <c r="AR27" s="147"/>
    </row>
    <row r="28" spans="1:46" s="88" customFormat="1" ht="22.5" hidden="1" customHeight="1" outlineLevel="2" x14ac:dyDescent="0.2">
      <c r="A28" s="148" t="s">
        <v>424</v>
      </c>
      <c r="B28" s="156"/>
      <c r="C28" s="154" t="str">
        <f>Januar!C28</f>
        <v>Nichtberufsunfall</v>
      </c>
      <c r="D28" s="158">
        <f>Januar!AK28</f>
        <v>0</v>
      </c>
      <c r="E28" s="913"/>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322"/>
      <c r="AJ28" s="151">
        <f t="shared" si="11"/>
        <v>0</v>
      </c>
      <c r="AK28" s="152">
        <f t="shared" si="10"/>
        <v>0</v>
      </c>
      <c r="AL28" s="157" t="s">
        <v>359</v>
      </c>
      <c r="AM28" s="145"/>
      <c r="AN28" s="146"/>
      <c r="AO28" s="692"/>
      <c r="AP28" s="146"/>
      <c r="AQ28" s="147"/>
      <c r="AR28" s="147"/>
    </row>
    <row r="29" spans="1:46" s="88" customFormat="1" collapsed="1" x14ac:dyDescent="0.2">
      <c r="A29" s="148"/>
      <c r="B29" s="156"/>
      <c r="C29" s="154" t="str">
        <f>Januar!C29</f>
        <v>Weiterbildung</v>
      </c>
      <c r="D29" s="158">
        <f>Januar!AK29</f>
        <v>0</v>
      </c>
      <c r="E29" s="913"/>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322"/>
      <c r="AJ29" s="151">
        <f t="shared" si="11"/>
        <v>0</v>
      </c>
      <c r="AK29" s="152">
        <f t="shared" si="10"/>
        <v>0</v>
      </c>
      <c r="AL29" s="144" t="s">
        <v>359</v>
      </c>
      <c r="AM29" s="145"/>
      <c r="AN29" s="146"/>
      <c r="AO29" s="146"/>
      <c r="AP29" s="147"/>
      <c r="AQ29" s="147"/>
      <c r="AR29" s="147"/>
    </row>
    <row r="30" spans="1:46" s="88" customFormat="1" x14ac:dyDescent="0.2">
      <c r="A30" s="148"/>
      <c r="B30" s="156"/>
      <c r="C30" s="154" t="str">
        <f>Januar!C30</f>
        <v>Unbezahlter Urlaub</v>
      </c>
      <c r="D30" s="158">
        <f>Januar!AK30</f>
        <v>0</v>
      </c>
      <c r="E30" s="913"/>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322"/>
      <c r="AJ30" s="151">
        <f t="shared" si="11"/>
        <v>0</v>
      </c>
      <c r="AK30" s="152">
        <f t="shared" si="10"/>
        <v>0</v>
      </c>
      <c r="AL30" s="144" t="s">
        <v>359</v>
      </c>
      <c r="AM30" s="145"/>
      <c r="AN30" s="146"/>
      <c r="AO30" s="146"/>
      <c r="AP30" s="147"/>
      <c r="AQ30" s="147"/>
      <c r="AR30" s="147"/>
    </row>
    <row r="31" spans="1:46" s="88" customFormat="1" x14ac:dyDescent="0.2">
      <c r="A31" s="148"/>
      <c r="B31" s="159">
        <f>IF(Eingabeblatt!C183="OK",Eingabeblatt!A183,"  Fehler")</f>
        <v>0</v>
      </c>
      <c r="C31" s="154" t="str">
        <f>Januar!C31</f>
        <v>Bezahlter Urlaub</v>
      </c>
      <c r="D31" s="158">
        <f>Januar!AK31</f>
        <v>0</v>
      </c>
      <c r="E31" s="913"/>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322"/>
      <c r="AJ31" s="151">
        <f t="shared" si="11"/>
        <v>0</v>
      </c>
      <c r="AK31" s="160">
        <f>ROUND(B31+D31-AJ31,8)</f>
        <v>0</v>
      </c>
      <c r="AL31" s="144" t="s">
        <v>425</v>
      </c>
      <c r="AM31" s="145"/>
      <c r="AN31" s="146"/>
      <c r="AO31" s="146"/>
      <c r="AP31" s="147"/>
      <c r="AQ31" s="147"/>
      <c r="AR31" s="147"/>
    </row>
    <row r="32" spans="1:46" s="88" customFormat="1" x14ac:dyDescent="0.2">
      <c r="A32" s="148"/>
      <c r="B32" s="159">
        <f>IF(Eingabeblatt!C184="OK",Eingabeblatt!A184,"  Fehler")</f>
        <v>0</v>
      </c>
      <c r="C32" s="161" t="str">
        <f>Januar!C32</f>
        <v>Kaderarbeitszeit</v>
      </c>
      <c r="D32" s="162">
        <f>Januar!AK32</f>
        <v>0</v>
      </c>
      <c r="E32" s="914"/>
      <c r="F32" s="915"/>
      <c r="G32" s="915"/>
      <c r="H32" s="915"/>
      <c r="I32" s="915"/>
      <c r="J32" s="915"/>
      <c r="K32" s="915"/>
      <c r="L32" s="915"/>
      <c r="M32" s="915"/>
      <c r="N32" s="915"/>
      <c r="O32" s="915"/>
      <c r="P32" s="915"/>
      <c r="Q32" s="915"/>
      <c r="R32" s="915"/>
      <c r="S32" s="915"/>
      <c r="T32" s="915"/>
      <c r="U32" s="915"/>
      <c r="V32" s="915"/>
      <c r="W32" s="915"/>
      <c r="X32" s="915"/>
      <c r="Y32" s="915"/>
      <c r="Z32" s="915"/>
      <c r="AA32" s="915"/>
      <c r="AB32" s="915"/>
      <c r="AC32" s="915"/>
      <c r="AD32" s="915"/>
      <c r="AE32" s="915"/>
      <c r="AF32" s="915"/>
      <c r="AG32" s="915"/>
      <c r="AH32" s="915"/>
      <c r="AI32" s="916"/>
      <c r="AJ32" s="163">
        <f t="shared" si="11"/>
        <v>0</v>
      </c>
      <c r="AK32" s="164">
        <f>ROUND(B32+D32-AJ32,8)</f>
        <v>0</v>
      </c>
      <c r="AL32" s="157" t="s">
        <v>425</v>
      </c>
      <c r="AM32" s="145"/>
      <c r="AN32" s="146"/>
      <c r="AO32" s="146"/>
      <c r="AP32" s="146"/>
      <c r="AQ32" s="147"/>
      <c r="AR32" s="147"/>
    </row>
    <row r="33" spans="1:46" ht="22.5" hidden="1" customHeight="1" outlineLevel="1" x14ac:dyDescent="0.2">
      <c r="A33" s="165" t="s">
        <v>424</v>
      </c>
      <c r="B33" s="156">
        <f>IF(Eingabeblatt!C185="OK",Eingabeblatt!A185,"  Fehler")</f>
        <v>0</v>
      </c>
      <c r="C33" s="166" t="str">
        <f>Januar!C33</f>
        <v>Nebenbeschäftigung</v>
      </c>
      <c r="D33" s="162"/>
      <c r="E33" s="167"/>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9"/>
      <c r="AJ33" s="140">
        <f t="shared" si="11"/>
        <v>0</v>
      </c>
      <c r="AK33" s="917">
        <f>ROUND(B33+D33-AJ33,8)</f>
        <v>0</v>
      </c>
      <c r="AL33" s="157" t="s">
        <v>425</v>
      </c>
      <c r="AM33" s="91"/>
      <c r="AN33" s="113"/>
      <c r="AO33" s="692"/>
      <c r="AP33" s="113"/>
      <c r="AQ33" s="89"/>
      <c r="AR33" s="89"/>
      <c r="AT33" s="88"/>
    </row>
    <row r="34" spans="1:46" ht="22.5" hidden="1" customHeight="1" outlineLevel="1" x14ac:dyDescent="0.2">
      <c r="A34" s="165"/>
      <c r="B34" s="156">
        <f>IF(Eingabeblatt!C182="OK",Eingabeblatt!A182,"  Fehler")</f>
        <v>0</v>
      </c>
      <c r="C34" s="170" t="str">
        <f>Januar!C34</f>
        <v>D A G</v>
      </c>
      <c r="D34" s="162">
        <f>Januar!AK34</f>
        <v>0</v>
      </c>
      <c r="E34" s="171"/>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3"/>
      <c r="AJ34" s="174">
        <f>SUM(E34:AI34)</f>
        <v>0</v>
      </c>
      <c r="AK34" s="152">
        <f>ROUND(B34+D34-AJ34,8)</f>
        <v>0</v>
      </c>
      <c r="AL34" s="157" t="s">
        <v>425</v>
      </c>
      <c r="AM34" s="91"/>
      <c r="AN34" s="113"/>
      <c r="AO34" s="692"/>
      <c r="AP34" s="113"/>
      <c r="AQ34" s="89"/>
      <c r="AR34" s="89"/>
    </row>
    <row r="35" spans="1:46" ht="22.5" hidden="1" customHeight="1" outlineLevel="1" x14ac:dyDescent="0.2">
      <c r="A35" s="165" t="s">
        <v>424</v>
      </c>
      <c r="B35" s="156"/>
      <c r="C35" s="170" t="str">
        <f>Januar!C35</f>
        <v>Diverses</v>
      </c>
      <c r="D35" s="162"/>
      <c r="E35" s="171"/>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c r="AJ35" s="174">
        <f t="shared" si="11"/>
        <v>0</v>
      </c>
      <c r="AK35" s="152">
        <f>ROUND(B35+D35+AJ35,8)</f>
        <v>0</v>
      </c>
      <c r="AL35" s="157" t="s">
        <v>359</v>
      </c>
      <c r="AM35" s="91"/>
      <c r="AN35" s="113"/>
      <c r="AO35" s="692"/>
      <c r="AP35" s="113"/>
      <c r="AQ35" s="89"/>
      <c r="AR35" s="89"/>
    </row>
    <row r="36" spans="1:46" ht="22.5" hidden="1" customHeight="1" outlineLevel="1" x14ac:dyDescent="0.2">
      <c r="A36" s="165" t="s">
        <v>424</v>
      </c>
      <c r="B36" s="156"/>
      <c r="C36" s="170" t="str">
        <f>Januar!C36</f>
        <v>freie Zeile 1</v>
      </c>
      <c r="D36" s="162"/>
      <c r="E36" s="171"/>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c r="AJ36" s="174">
        <f>SUM(E36:AI36)</f>
        <v>0</v>
      </c>
      <c r="AK36" s="152">
        <f>ROUND(B36+D36+AJ36,8)</f>
        <v>0</v>
      </c>
      <c r="AL36" s="157" t="s">
        <v>359</v>
      </c>
      <c r="AM36" s="91"/>
      <c r="AN36" s="113"/>
      <c r="AO36" s="692"/>
      <c r="AP36" s="113"/>
      <c r="AQ36" s="89"/>
      <c r="AR36" s="89"/>
    </row>
    <row r="37" spans="1:46" ht="22.5" hidden="1" customHeight="1" outlineLevel="1" x14ac:dyDescent="0.2">
      <c r="A37" s="165" t="s">
        <v>424</v>
      </c>
      <c r="B37" s="156"/>
      <c r="C37" s="170" t="str">
        <f>Januar!C37</f>
        <v>freie Zeile 2</v>
      </c>
      <c r="D37" s="162"/>
      <c r="E37" s="171"/>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3"/>
      <c r="AJ37" s="174">
        <f>SUM(E37:AI37)</f>
        <v>0</v>
      </c>
      <c r="AK37" s="152">
        <f>ROUND(B37+D37+AJ37,8)</f>
        <v>0</v>
      </c>
      <c r="AL37" s="157" t="s">
        <v>359</v>
      </c>
      <c r="AM37" s="91"/>
      <c r="AN37" s="113"/>
      <c r="AO37" s="692"/>
      <c r="AP37" s="113"/>
      <c r="AQ37" s="89"/>
      <c r="AR37" s="89"/>
    </row>
    <row r="38" spans="1:46" ht="22.5" hidden="1" customHeight="1" outlineLevel="1" x14ac:dyDescent="0.2">
      <c r="A38" s="165" t="s">
        <v>424</v>
      </c>
      <c r="B38" s="156"/>
      <c r="C38" s="175" t="str">
        <f>Januar!C38</f>
        <v>freie Zeile 3</v>
      </c>
      <c r="D38" s="162"/>
      <c r="E38" s="176"/>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8"/>
      <c r="AJ38" s="142">
        <f>SUM(E38:AI38)</f>
        <v>0</v>
      </c>
      <c r="AK38" s="912">
        <f>ROUND(B38+D38+AJ38,8)</f>
        <v>0</v>
      </c>
      <c r="AL38" s="157" t="s">
        <v>359</v>
      </c>
      <c r="AM38" s="91"/>
      <c r="AN38" s="113"/>
      <c r="AO38" s="692"/>
      <c r="AP38" s="113"/>
      <c r="AQ38" s="89"/>
      <c r="AR38" s="89"/>
    </row>
    <row r="39" spans="1:46" s="34" customFormat="1" hidden="1" outlineLevel="1" x14ac:dyDescent="0.2">
      <c r="A39" s="179"/>
      <c r="B39" s="180"/>
      <c r="C39" s="918" t="str">
        <f>Januar!C39</f>
        <v>Arbeitszeit aufgeteilt</v>
      </c>
      <c r="D39" s="1061"/>
      <c r="E39" s="1062">
        <f>ROUND(SUM(E41:E84),8)</f>
        <v>0</v>
      </c>
      <c r="F39" s="1063">
        <f>ROUND(SUM(F41:F84),8)</f>
        <v>0</v>
      </c>
      <c r="G39" s="1063">
        <f>ROUND(SUM(G41:G84),8)</f>
        <v>0</v>
      </c>
      <c r="H39" s="1063">
        <f t="shared" ref="H39:AI39" si="12">ROUND(SUM(H41:H84),8)</f>
        <v>0</v>
      </c>
      <c r="I39" s="1063">
        <f t="shared" si="12"/>
        <v>0</v>
      </c>
      <c r="J39" s="1063">
        <f t="shared" si="12"/>
        <v>0</v>
      </c>
      <c r="K39" s="1063">
        <f t="shared" si="12"/>
        <v>0</v>
      </c>
      <c r="L39" s="1063">
        <f t="shared" si="12"/>
        <v>0</v>
      </c>
      <c r="M39" s="1063">
        <f t="shared" si="12"/>
        <v>0</v>
      </c>
      <c r="N39" s="1063">
        <f t="shared" si="12"/>
        <v>0</v>
      </c>
      <c r="O39" s="1063">
        <f t="shared" si="12"/>
        <v>0</v>
      </c>
      <c r="P39" s="1063">
        <f t="shared" si="12"/>
        <v>0</v>
      </c>
      <c r="Q39" s="1063">
        <f t="shared" si="12"/>
        <v>0</v>
      </c>
      <c r="R39" s="1063">
        <f t="shared" si="12"/>
        <v>0</v>
      </c>
      <c r="S39" s="1063">
        <f t="shared" si="12"/>
        <v>0</v>
      </c>
      <c r="T39" s="1063">
        <f t="shared" si="12"/>
        <v>0</v>
      </c>
      <c r="U39" s="1063">
        <f t="shared" si="12"/>
        <v>0</v>
      </c>
      <c r="V39" s="1063">
        <f t="shared" si="12"/>
        <v>0</v>
      </c>
      <c r="W39" s="1063">
        <f t="shared" si="12"/>
        <v>0</v>
      </c>
      <c r="X39" s="1063">
        <f t="shared" si="12"/>
        <v>0</v>
      </c>
      <c r="Y39" s="1063">
        <f t="shared" si="12"/>
        <v>0</v>
      </c>
      <c r="Z39" s="1063">
        <f t="shared" si="12"/>
        <v>0</v>
      </c>
      <c r="AA39" s="1063">
        <f t="shared" si="12"/>
        <v>0</v>
      </c>
      <c r="AB39" s="1063">
        <f t="shared" si="12"/>
        <v>0</v>
      </c>
      <c r="AC39" s="1063">
        <f t="shared" si="12"/>
        <v>0</v>
      </c>
      <c r="AD39" s="1063">
        <f t="shared" si="12"/>
        <v>0</v>
      </c>
      <c r="AE39" s="1063">
        <f t="shared" si="12"/>
        <v>0</v>
      </c>
      <c r="AF39" s="1063">
        <f t="shared" si="12"/>
        <v>0</v>
      </c>
      <c r="AG39" s="1063">
        <f t="shared" si="12"/>
        <v>0</v>
      </c>
      <c r="AH39" s="1063">
        <f t="shared" si="12"/>
        <v>0</v>
      </c>
      <c r="AI39" s="1064">
        <f t="shared" si="12"/>
        <v>0</v>
      </c>
      <c r="AJ39" s="969"/>
      <c r="AK39" s="1065"/>
      <c r="AL39" s="13"/>
      <c r="AM39" s="181"/>
      <c r="AN39" s="182"/>
      <c r="AT39" s="8"/>
    </row>
    <row r="40" spans="1:46" s="34" customFormat="1" ht="42" customHeight="1" collapsed="1" x14ac:dyDescent="0.2">
      <c r="A40" s="179"/>
      <c r="B40" s="180"/>
      <c r="C40" s="919" t="str">
        <f>Januar!C40</f>
        <v>in folgenden Bereichen nicht oder zuviel aufgeteilte Arbeitszeit</v>
      </c>
      <c r="D40" s="920"/>
      <c r="E40" s="921">
        <f t="shared" ref="E40:AI40" si="13">ROUND(IF(E13=E39,0,IF(E13&lt;&gt;0,E13-E39,0)),8)</f>
        <v>0</v>
      </c>
      <c r="F40" s="922">
        <f t="shared" si="13"/>
        <v>0</v>
      </c>
      <c r="G40" s="922">
        <f t="shared" si="13"/>
        <v>0</v>
      </c>
      <c r="H40" s="922">
        <f t="shared" si="13"/>
        <v>0</v>
      </c>
      <c r="I40" s="922">
        <f t="shared" si="13"/>
        <v>0</v>
      </c>
      <c r="J40" s="922">
        <f t="shared" si="13"/>
        <v>0</v>
      </c>
      <c r="K40" s="922">
        <f t="shared" si="13"/>
        <v>0</v>
      </c>
      <c r="L40" s="922">
        <f t="shared" si="13"/>
        <v>0</v>
      </c>
      <c r="M40" s="922">
        <f t="shared" si="13"/>
        <v>0</v>
      </c>
      <c r="N40" s="922">
        <f t="shared" si="13"/>
        <v>0</v>
      </c>
      <c r="O40" s="922">
        <f t="shared" si="13"/>
        <v>0</v>
      </c>
      <c r="P40" s="922">
        <f t="shared" si="13"/>
        <v>0</v>
      </c>
      <c r="Q40" s="922">
        <f t="shared" si="13"/>
        <v>0</v>
      </c>
      <c r="R40" s="922">
        <f t="shared" si="13"/>
        <v>0</v>
      </c>
      <c r="S40" s="922">
        <f t="shared" si="13"/>
        <v>0</v>
      </c>
      <c r="T40" s="922">
        <f t="shared" si="13"/>
        <v>0</v>
      </c>
      <c r="U40" s="922">
        <f t="shared" si="13"/>
        <v>0</v>
      </c>
      <c r="V40" s="922">
        <f t="shared" si="13"/>
        <v>0</v>
      </c>
      <c r="W40" s="922">
        <f t="shared" si="13"/>
        <v>0</v>
      </c>
      <c r="X40" s="922">
        <f t="shared" si="13"/>
        <v>0</v>
      </c>
      <c r="Y40" s="922">
        <f t="shared" si="13"/>
        <v>0</v>
      </c>
      <c r="Z40" s="922">
        <f t="shared" si="13"/>
        <v>0</v>
      </c>
      <c r="AA40" s="922">
        <f t="shared" si="13"/>
        <v>0</v>
      </c>
      <c r="AB40" s="922">
        <f t="shared" si="13"/>
        <v>0</v>
      </c>
      <c r="AC40" s="922">
        <f t="shared" si="13"/>
        <v>0</v>
      </c>
      <c r="AD40" s="922">
        <f t="shared" si="13"/>
        <v>0</v>
      </c>
      <c r="AE40" s="922">
        <f t="shared" si="13"/>
        <v>0</v>
      </c>
      <c r="AF40" s="922">
        <f t="shared" si="13"/>
        <v>0</v>
      </c>
      <c r="AG40" s="922">
        <f t="shared" si="13"/>
        <v>0</v>
      </c>
      <c r="AH40" s="922">
        <f t="shared" si="13"/>
        <v>0</v>
      </c>
      <c r="AI40" s="923">
        <f t="shared" si="13"/>
        <v>0</v>
      </c>
      <c r="AJ40" s="183"/>
      <c r="AK40" s="924"/>
      <c r="AL40" s="13"/>
      <c r="AM40" s="181"/>
      <c r="AN40" s="182"/>
    </row>
    <row r="41" spans="1:46" s="37" customFormat="1" x14ac:dyDescent="0.2">
      <c r="A41" s="148"/>
      <c r="B41" s="1066" t="str">
        <f>ctArbeitsgebiete!A9</f>
        <v>A01</v>
      </c>
      <c r="C41" s="1067" t="str">
        <f>IF(ctArbeitsgebiete!B9&lt;&gt;"",ctArbeitsgebiete!B9,"")</f>
        <v/>
      </c>
      <c r="D41" s="1068"/>
      <c r="E41" s="1069"/>
      <c r="F41" s="1070"/>
      <c r="G41" s="1070"/>
      <c r="H41" s="1070"/>
      <c r="I41" s="1070"/>
      <c r="J41" s="1070"/>
      <c r="K41" s="1070"/>
      <c r="L41" s="1070"/>
      <c r="M41" s="1070"/>
      <c r="N41" s="1070"/>
      <c r="O41" s="1070"/>
      <c r="P41" s="1070"/>
      <c r="Q41" s="1070"/>
      <c r="R41" s="1070"/>
      <c r="S41" s="1070"/>
      <c r="T41" s="1070"/>
      <c r="U41" s="1070"/>
      <c r="V41" s="1070"/>
      <c r="W41" s="1070"/>
      <c r="X41" s="1070"/>
      <c r="Y41" s="1070"/>
      <c r="Z41" s="1070"/>
      <c r="AA41" s="1070"/>
      <c r="AB41" s="1070"/>
      <c r="AC41" s="1070"/>
      <c r="AD41" s="1070"/>
      <c r="AE41" s="1070"/>
      <c r="AF41" s="1070"/>
      <c r="AG41" s="1070"/>
      <c r="AH41" s="1070"/>
      <c r="AI41" s="1071"/>
      <c r="AJ41" s="1072">
        <f>SUM(E41:AI41)</f>
        <v>0</v>
      </c>
      <c r="AK41" s="152"/>
      <c r="AL41" s="146"/>
      <c r="AM41" s="147"/>
      <c r="AN41" s="147"/>
      <c r="AO41" s="147"/>
      <c r="AP41" s="147"/>
      <c r="AQ41" s="147"/>
      <c r="AR41" s="147"/>
      <c r="AS41" s="88"/>
      <c r="AT41" s="34"/>
    </row>
    <row r="42" spans="1:46" x14ac:dyDescent="0.2">
      <c r="A42" s="165"/>
      <c r="B42" s="185" t="str">
        <f>ctArbeitsgebiete!A10</f>
        <v>A02</v>
      </c>
      <c r="C42" s="186" t="str">
        <f>IF(ctArbeitsgebiete!B10&lt;&gt;"",ctArbeitsgebiete!B10,"")</f>
        <v/>
      </c>
      <c r="D42" s="187"/>
      <c r="E42" s="913"/>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322"/>
      <c r="AJ42" s="188">
        <f t="shared" ref="AJ42:AJ84" si="14">SUM(E42:AI42)</f>
        <v>0</v>
      </c>
      <c r="AK42" s="152"/>
      <c r="AL42" s="113"/>
      <c r="AM42" s="89"/>
      <c r="AN42" s="89"/>
      <c r="AO42" s="89"/>
      <c r="AP42" s="89"/>
      <c r="AQ42" s="89"/>
      <c r="AR42" s="89"/>
      <c r="AT42" s="88"/>
    </row>
    <row r="43" spans="1:46" x14ac:dyDescent="0.2">
      <c r="A43" s="165"/>
      <c r="B43" s="185" t="str">
        <f>ctArbeitsgebiete!A11</f>
        <v>A03</v>
      </c>
      <c r="C43" s="186" t="str">
        <f>IF(ctArbeitsgebiete!B11&lt;&gt;"",ctArbeitsgebiete!B11,"")</f>
        <v/>
      </c>
      <c r="D43" s="187"/>
      <c r="E43" s="913"/>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22"/>
      <c r="AJ43" s="188">
        <f t="shared" si="14"/>
        <v>0</v>
      </c>
      <c r="AK43" s="152"/>
      <c r="AL43" s="113"/>
      <c r="AM43" s="89"/>
      <c r="AN43" s="89"/>
      <c r="AO43" s="89"/>
      <c r="AP43" s="89"/>
      <c r="AQ43" s="89"/>
      <c r="AR43" s="89"/>
    </row>
    <row r="44" spans="1:46" x14ac:dyDescent="0.2">
      <c r="A44" s="165"/>
      <c r="B44" s="185" t="str">
        <f>ctArbeitsgebiete!A12</f>
        <v>A04</v>
      </c>
      <c r="C44" s="186" t="str">
        <f>IF(ctArbeitsgebiete!B12&lt;&gt;"",ctArbeitsgebiete!B12,"")</f>
        <v/>
      </c>
      <c r="D44" s="187"/>
      <c r="E44" s="913"/>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322"/>
      <c r="AJ44" s="188">
        <f t="shared" si="14"/>
        <v>0</v>
      </c>
      <c r="AK44" s="152"/>
      <c r="AL44" s="113"/>
      <c r="AM44" s="89"/>
      <c r="AN44" s="89"/>
      <c r="AO44" s="89"/>
      <c r="AP44" s="89"/>
      <c r="AQ44" s="89"/>
      <c r="AR44" s="89"/>
    </row>
    <row r="45" spans="1:46" x14ac:dyDescent="0.2">
      <c r="A45" s="165"/>
      <c r="B45" s="185" t="str">
        <f>ctArbeitsgebiete!A13</f>
        <v>A05</v>
      </c>
      <c r="C45" s="186" t="str">
        <f>IF(ctArbeitsgebiete!B13&lt;&gt;"",ctArbeitsgebiete!B13,"")</f>
        <v/>
      </c>
      <c r="D45" s="187"/>
      <c r="E45" s="913"/>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322"/>
      <c r="AJ45" s="188">
        <f t="shared" si="14"/>
        <v>0</v>
      </c>
      <c r="AK45" s="152"/>
      <c r="AL45" s="113"/>
      <c r="AM45" s="89"/>
      <c r="AN45" s="89"/>
      <c r="AO45" s="89"/>
      <c r="AP45" s="89"/>
      <c r="AQ45" s="89"/>
      <c r="AR45" s="89"/>
    </row>
    <row r="46" spans="1:46" x14ac:dyDescent="0.2">
      <c r="A46" s="165"/>
      <c r="B46" s="185" t="str">
        <f>ctArbeitsgebiete!A14</f>
        <v>A06</v>
      </c>
      <c r="C46" s="186" t="str">
        <f>IF(ctArbeitsgebiete!B14&lt;&gt;"",ctArbeitsgebiete!B14,"")</f>
        <v/>
      </c>
      <c r="D46" s="187"/>
      <c r="E46" s="913"/>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322"/>
      <c r="AJ46" s="188">
        <f t="shared" si="14"/>
        <v>0</v>
      </c>
      <c r="AK46" s="152"/>
      <c r="AL46" s="113"/>
      <c r="AM46" s="89"/>
      <c r="AN46" s="89"/>
      <c r="AO46" s="89"/>
      <c r="AP46" s="89"/>
      <c r="AQ46" s="89"/>
      <c r="AR46" s="89"/>
    </row>
    <row r="47" spans="1:46" x14ac:dyDescent="0.2">
      <c r="A47" s="165"/>
      <c r="B47" s="185" t="str">
        <f>ctArbeitsgebiete!A15</f>
        <v>A07</v>
      </c>
      <c r="C47" s="186" t="str">
        <f>IF(ctArbeitsgebiete!B15&lt;&gt;"",ctArbeitsgebiete!B15,"")</f>
        <v/>
      </c>
      <c r="D47" s="187"/>
      <c r="E47" s="913"/>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322"/>
      <c r="AJ47" s="188">
        <f t="shared" si="14"/>
        <v>0</v>
      </c>
      <c r="AK47" s="152"/>
      <c r="AL47" s="113"/>
      <c r="AM47" s="89"/>
      <c r="AN47" s="89"/>
      <c r="AO47" s="89"/>
      <c r="AP47" s="89"/>
      <c r="AQ47" s="89"/>
      <c r="AR47" s="89"/>
    </row>
    <row r="48" spans="1:46" x14ac:dyDescent="0.2">
      <c r="A48" s="165"/>
      <c r="B48" s="185" t="str">
        <f>ctArbeitsgebiete!A16</f>
        <v>A08</v>
      </c>
      <c r="C48" s="186" t="str">
        <f>IF(ctArbeitsgebiete!B16&lt;&gt;"",ctArbeitsgebiete!B16,"")</f>
        <v/>
      </c>
      <c r="D48" s="187"/>
      <c r="E48" s="913"/>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322"/>
      <c r="AJ48" s="188">
        <f t="shared" si="14"/>
        <v>0</v>
      </c>
      <c r="AK48" s="152"/>
      <c r="AL48" s="113"/>
      <c r="AM48" s="89"/>
      <c r="AN48" s="89"/>
      <c r="AO48" s="89"/>
      <c r="AP48" s="89"/>
      <c r="AQ48" s="89"/>
      <c r="AR48" s="89"/>
    </row>
    <row r="49" spans="1:44" x14ac:dyDescent="0.2">
      <c r="A49" s="165"/>
      <c r="B49" s="185" t="str">
        <f>ctArbeitsgebiete!A17</f>
        <v>A09</v>
      </c>
      <c r="C49" s="186" t="str">
        <f>IF(ctArbeitsgebiete!B17&lt;&gt;"",ctArbeitsgebiete!B17,"")</f>
        <v/>
      </c>
      <c r="D49" s="187"/>
      <c r="E49" s="913"/>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322"/>
      <c r="AJ49" s="188">
        <f t="shared" si="14"/>
        <v>0</v>
      </c>
      <c r="AK49" s="152"/>
      <c r="AL49" s="113"/>
      <c r="AM49" s="89"/>
      <c r="AN49" s="89"/>
      <c r="AO49" s="89"/>
      <c r="AP49" s="89"/>
      <c r="AQ49" s="89"/>
      <c r="AR49" s="89"/>
    </row>
    <row r="50" spans="1:44" x14ac:dyDescent="0.2">
      <c r="A50" s="165"/>
      <c r="B50" s="185" t="str">
        <f>ctArbeitsgebiete!A18</f>
        <v>A10</v>
      </c>
      <c r="C50" s="186" t="str">
        <f>IF(ctArbeitsgebiete!B18&lt;&gt;"",ctArbeitsgebiete!B18,"")</f>
        <v/>
      </c>
      <c r="D50" s="187"/>
      <c r="E50" s="913"/>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322"/>
      <c r="AJ50" s="188">
        <f t="shared" si="14"/>
        <v>0</v>
      </c>
      <c r="AK50" s="152"/>
      <c r="AL50" s="113"/>
      <c r="AM50" s="89"/>
      <c r="AN50" s="89"/>
      <c r="AO50" s="89"/>
      <c r="AP50" s="89"/>
      <c r="AQ50" s="89"/>
      <c r="AR50" s="89"/>
    </row>
    <row r="51" spans="1:44" x14ac:dyDescent="0.2">
      <c r="A51" s="165"/>
      <c r="B51" s="185" t="str">
        <f>ctArbeitsgebiete!A19</f>
        <v>A11</v>
      </c>
      <c r="C51" s="186" t="str">
        <f>IF(ctArbeitsgebiete!B19&lt;&gt;"",ctArbeitsgebiete!B19,"")</f>
        <v/>
      </c>
      <c r="D51" s="187"/>
      <c r="E51" s="913"/>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322"/>
      <c r="AJ51" s="188">
        <f t="shared" si="14"/>
        <v>0</v>
      </c>
      <c r="AK51" s="152"/>
      <c r="AL51" s="113"/>
      <c r="AM51" s="89"/>
      <c r="AN51" s="89"/>
      <c r="AO51" s="89"/>
      <c r="AP51" s="89"/>
      <c r="AQ51" s="89"/>
      <c r="AR51" s="89"/>
    </row>
    <row r="52" spans="1:44" x14ac:dyDescent="0.2">
      <c r="A52" s="165"/>
      <c r="B52" s="185" t="str">
        <f>ctArbeitsgebiete!A20</f>
        <v>A12</v>
      </c>
      <c r="C52" s="186" t="str">
        <f>IF(ctArbeitsgebiete!B20&lt;&gt;"",ctArbeitsgebiete!B20,"")</f>
        <v/>
      </c>
      <c r="D52" s="187"/>
      <c r="E52" s="913"/>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322"/>
      <c r="AJ52" s="188">
        <f t="shared" si="14"/>
        <v>0</v>
      </c>
      <c r="AK52" s="152"/>
      <c r="AL52" s="113"/>
      <c r="AM52" s="89"/>
      <c r="AN52" s="89"/>
      <c r="AO52" s="89"/>
      <c r="AP52" s="89"/>
      <c r="AQ52" s="89"/>
      <c r="AR52" s="89"/>
    </row>
    <row r="53" spans="1:44" x14ac:dyDescent="0.2">
      <c r="A53" s="165"/>
      <c r="B53" s="185" t="str">
        <f>ctArbeitsgebiete!A21</f>
        <v>A13</v>
      </c>
      <c r="C53" s="186" t="str">
        <f>IF(ctArbeitsgebiete!B21&lt;&gt;"",ctArbeitsgebiete!B21,"")</f>
        <v/>
      </c>
      <c r="D53" s="187"/>
      <c r="E53" s="913"/>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322"/>
      <c r="AJ53" s="188">
        <f t="shared" si="14"/>
        <v>0</v>
      </c>
      <c r="AK53" s="152"/>
      <c r="AL53" s="113"/>
      <c r="AM53" s="89"/>
      <c r="AN53" s="89"/>
      <c r="AO53" s="89"/>
      <c r="AP53" s="89"/>
      <c r="AQ53" s="89"/>
      <c r="AR53" s="89"/>
    </row>
    <row r="54" spans="1:44" x14ac:dyDescent="0.2">
      <c r="A54" s="165"/>
      <c r="B54" s="185" t="str">
        <f>ctArbeitsgebiete!A22</f>
        <v>A14</v>
      </c>
      <c r="C54" s="186" t="str">
        <f>IF(ctArbeitsgebiete!B22&lt;&gt;"",ctArbeitsgebiete!B22,"")</f>
        <v/>
      </c>
      <c r="D54" s="187"/>
      <c r="E54" s="913"/>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322"/>
      <c r="AJ54" s="188">
        <f t="shared" si="14"/>
        <v>0</v>
      </c>
      <c r="AK54" s="152"/>
      <c r="AL54" s="113"/>
      <c r="AM54" s="89"/>
      <c r="AN54" s="89"/>
      <c r="AO54" s="89"/>
      <c r="AP54" s="89"/>
      <c r="AQ54" s="89"/>
      <c r="AR54" s="89"/>
    </row>
    <row r="55" spans="1:44" x14ac:dyDescent="0.2">
      <c r="A55" s="165"/>
      <c r="B55" s="185" t="str">
        <f>ctArbeitsgebiete!A23</f>
        <v>A15</v>
      </c>
      <c r="C55" s="186" t="str">
        <f>IF(ctArbeitsgebiete!B23&lt;&gt;"",ctArbeitsgebiete!B23,"")</f>
        <v/>
      </c>
      <c r="D55" s="187"/>
      <c r="E55" s="913"/>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322"/>
      <c r="AJ55" s="188">
        <f t="shared" si="14"/>
        <v>0</v>
      </c>
      <c r="AK55" s="152"/>
      <c r="AL55" s="113"/>
      <c r="AM55" s="89"/>
      <c r="AN55" s="89"/>
      <c r="AO55" s="89"/>
      <c r="AP55" s="89"/>
      <c r="AQ55" s="89"/>
      <c r="AR55" s="89"/>
    </row>
    <row r="56" spans="1:44" x14ac:dyDescent="0.2">
      <c r="A56" s="165"/>
      <c r="B56" s="189" t="str">
        <f>ctArbeitsgebiete!A24</f>
        <v>A16</v>
      </c>
      <c r="C56" s="190" t="str">
        <f>IF(ctArbeitsgebiete!B24&lt;&gt;"",ctArbeitsgebiete!B24,"")</f>
        <v/>
      </c>
      <c r="D56" s="191"/>
      <c r="E56" s="914"/>
      <c r="F56" s="915"/>
      <c r="G56" s="915"/>
      <c r="H56" s="915"/>
      <c r="I56" s="915"/>
      <c r="J56" s="915"/>
      <c r="K56" s="915"/>
      <c r="L56" s="915"/>
      <c r="M56" s="915"/>
      <c r="N56" s="915"/>
      <c r="O56" s="915"/>
      <c r="P56" s="915"/>
      <c r="Q56" s="915"/>
      <c r="R56" s="915"/>
      <c r="S56" s="915"/>
      <c r="T56" s="915"/>
      <c r="U56" s="915"/>
      <c r="V56" s="915"/>
      <c r="W56" s="915"/>
      <c r="X56" s="915"/>
      <c r="Y56" s="915"/>
      <c r="Z56" s="915"/>
      <c r="AA56" s="915"/>
      <c r="AB56" s="915"/>
      <c r="AC56" s="915"/>
      <c r="AD56" s="915"/>
      <c r="AE56" s="915"/>
      <c r="AF56" s="915"/>
      <c r="AG56" s="915"/>
      <c r="AH56" s="915"/>
      <c r="AI56" s="916"/>
      <c r="AJ56" s="192">
        <f t="shared" si="14"/>
        <v>0</v>
      </c>
      <c r="AK56" s="912"/>
      <c r="AL56" s="113"/>
      <c r="AM56" s="89"/>
      <c r="AN56" s="89"/>
      <c r="AO56" s="89"/>
      <c r="AP56" s="89"/>
      <c r="AQ56" s="89"/>
      <c r="AR56" s="89"/>
    </row>
    <row r="57" spans="1:44" x14ac:dyDescent="0.2">
      <c r="A57" s="165"/>
      <c r="B57" s="1066" t="str">
        <f>ctArbeitsgebiete!D9</f>
        <v>B01</v>
      </c>
      <c r="C57" s="1073" t="str">
        <f>IF(ctArbeitsgebiete!E9&lt;&gt;"",ctArbeitsgebiete!E9,"")</f>
        <v/>
      </c>
      <c r="D57" s="1074" t="str">
        <f>IF(ctArbeitsgebiete!F9&lt;&gt;"",ctArbeitsgebiete!F9,"")</f>
        <v/>
      </c>
      <c r="E57" s="1069"/>
      <c r="F57" s="1070"/>
      <c r="G57" s="1070"/>
      <c r="H57" s="1070"/>
      <c r="I57" s="1070"/>
      <c r="J57" s="1070"/>
      <c r="K57" s="1070"/>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0"/>
      <c r="AH57" s="1070"/>
      <c r="AI57" s="1071"/>
      <c r="AJ57" s="1075">
        <f t="shared" si="14"/>
        <v>0</v>
      </c>
      <c r="AK57" s="1060"/>
      <c r="AL57" s="113"/>
      <c r="AM57" s="89"/>
      <c r="AN57" s="89"/>
      <c r="AO57" s="89"/>
      <c r="AP57" s="89"/>
      <c r="AQ57" s="89"/>
      <c r="AR57" s="89"/>
    </row>
    <row r="58" spans="1:44" x14ac:dyDescent="0.2">
      <c r="A58" s="165"/>
      <c r="B58" s="185" t="str">
        <f>ctArbeitsgebiete!D10</f>
        <v>B02</v>
      </c>
      <c r="C58" s="193" t="str">
        <f>IF(ctArbeitsgebiete!E10&lt;&gt;"",ctArbeitsgebiete!E10,"")</f>
        <v/>
      </c>
      <c r="D58" s="194"/>
      <c r="E58" s="913"/>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322"/>
      <c r="AJ58" s="195">
        <f t="shared" si="14"/>
        <v>0</v>
      </c>
      <c r="AK58" s="152"/>
      <c r="AL58" s="113"/>
      <c r="AM58" s="89"/>
      <c r="AN58" s="89"/>
      <c r="AO58" s="89"/>
      <c r="AP58" s="89"/>
      <c r="AQ58" s="89"/>
      <c r="AR58" s="89"/>
    </row>
    <row r="59" spans="1:44" x14ac:dyDescent="0.2">
      <c r="A59" s="165"/>
      <c r="B59" s="185" t="str">
        <f>ctArbeitsgebiete!D11</f>
        <v>B03</v>
      </c>
      <c r="C59" s="193" t="str">
        <f>IF(ctArbeitsgebiete!E11&lt;&gt;"",ctArbeitsgebiete!E11,"")</f>
        <v/>
      </c>
      <c r="D59" s="194"/>
      <c r="E59" s="913"/>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322"/>
      <c r="AJ59" s="195">
        <f t="shared" si="14"/>
        <v>0</v>
      </c>
      <c r="AK59" s="152"/>
      <c r="AL59" s="113"/>
      <c r="AM59" s="89"/>
      <c r="AN59" s="89"/>
      <c r="AO59" s="89"/>
      <c r="AP59" s="89"/>
      <c r="AQ59" s="89"/>
      <c r="AR59" s="89"/>
    </row>
    <row r="60" spans="1:44" x14ac:dyDescent="0.2">
      <c r="A60" s="165"/>
      <c r="B60" s="185" t="str">
        <f>ctArbeitsgebiete!D12</f>
        <v>B04</v>
      </c>
      <c r="C60" s="193" t="str">
        <f>IF(ctArbeitsgebiete!E12&lt;&gt;"",ctArbeitsgebiete!E12,"")</f>
        <v/>
      </c>
      <c r="D60" s="194"/>
      <c r="E60" s="913"/>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322"/>
      <c r="AJ60" s="195">
        <f t="shared" si="14"/>
        <v>0</v>
      </c>
      <c r="AK60" s="152"/>
      <c r="AL60" s="113"/>
      <c r="AM60" s="89"/>
      <c r="AN60" s="89"/>
      <c r="AO60" s="89"/>
      <c r="AP60" s="89"/>
      <c r="AQ60" s="89"/>
      <c r="AR60" s="89"/>
    </row>
    <row r="61" spans="1:44" x14ac:dyDescent="0.2">
      <c r="A61" s="165"/>
      <c r="B61" s="185" t="str">
        <f>ctArbeitsgebiete!D13</f>
        <v>B05</v>
      </c>
      <c r="C61" s="193" t="str">
        <f>IF(ctArbeitsgebiete!E13&lt;&gt;"",ctArbeitsgebiete!E13,"")</f>
        <v/>
      </c>
      <c r="D61" s="194"/>
      <c r="E61" s="913"/>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322"/>
      <c r="AJ61" s="195">
        <f t="shared" si="14"/>
        <v>0</v>
      </c>
      <c r="AK61" s="152"/>
      <c r="AL61" s="113"/>
      <c r="AM61" s="89"/>
      <c r="AN61" s="89"/>
      <c r="AO61" s="89"/>
      <c r="AP61" s="89"/>
      <c r="AQ61" s="89"/>
      <c r="AR61" s="89"/>
    </row>
    <row r="62" spans="1:44" x14ac:dyDescent="0.2">
      <c r="A62" s="165"/>
      <c r="B62" s="185" t="str">
        <f>ctArbeitsgebiete!D14</f>
        <v>B06</v>
      </c>
      <c r="C62" s="193" t="str">
        <f>IF(ctArbeitsgebiete!E14&lt;&gt;"",ctArbeitsgebiete!E14,"")</f>
        <v/>
      </c>
      <c r="D62" s="194"/>
      <c r="E62" s="913"/>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322"/>
      <c r="AJ62" s="195">
        <f t="shared" si="14"/>
        <v>0</v>
      </c>
      <c r="AK62" s="152"/>
      <c r="AL62" s="113"/>
      <c r="AM62" s="89"/>
      <c r="AN62" s="89"/>
      <c r="AO62" s="89"/>
      <c r="AP62" s="89"/>
      <c r="AQ62" s="89"/>
      <c r="AR62" s="89"/>
    </row>
    <row r="63" spans="1:44" x14ac:dyDescent="0.2">
      <c r="A63" s="165"/>
      <c r="B63" s="185" t="str">
        <f>ctArbeitsgebiete!D15</f>
        <v>B07</v>
      </c>
      <c r="C63" s="193" t="str">
        <f>IF(ctArbeitsgebiete!E15&lt;&gt;"",ctArbeitsgebiete!E15,"")</f>
        <v/>
      </c>
      <c r="D63" s="194"/>
      <c r="E63" s="913"/>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322"/>
      <c r="AJ63" s="195">
        <f t="shared" si="14"/>
        <v>0</v>
      </c>
      <c r="AK63" s="152"/>
      <c r="AL63" s="113"/>
      <c r="AM63" s="89"/>
      <c r="AN63" s="89"/>
      <c r="AO63" s="89"/>
      <c r="AP63" s="89"/>
      <c r="AQ63" s="89"/>
      <c r="AR63" s="89"/>
    </row>
    <row r="64" spans="1:44" x14ac:dyDescent="0.2">
      <c r="A64" s="165"/>
      <c r="B64" s="185" t="str">
        <f>ctArbeitsgebiete!D16</f>
        <v>B08</v>
      </c>
      <c r="C64" s="193" t="str">
        <f>IF(ctArbeitsgebiete!E16&lt;&gt;"",ctArbeitsgebiete!E16,"")</f>
        <v/>
      </c>
      <c r="D64" s="194"/>
      <c r="E64" s="913"/>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322"/>
      <c r="AJ64" s="195">
        <f t="shared" si="14"/>
        <v>0</v>
      </c>
      <c r="AK64" s="152"/>
      <c r="AL64" s="113"/>
      <c r="AM64" s="89"/>
      <c r="AN64" s="89"/>
      <c r="AO64" s="89"/>
      <c r="AP64" s="89"/>
      <c r="AQ64" s="89"/>
      <c r="AR64" s="89"/>
    </row>
    <row r="65" spans="1:44" x14ac:dyDescent="0.2">
      <c r="A65" s="165"/>
      <c r="B65" s="185" t="str">
        <f>ctArbeitsgebiete!D17</f>
        <v>B09</v>
      </c>
      <c r="C65" s="193" t="str">
        <f>IF(ctArbeitsgebiete!E17&lt;&gt;"",ctArbeitsgebiete!E17,"")</f>
        <v/>
      </c>
      <c r="D65" s="194"/>
      <c r="E65" s="913"/>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322"/>
      <c r="AJ65" s="195">
        <f t="shared" si="14"/>
        <v>0</v>
      </c>
      <c r="AK65" s="152"/>
      <c r="AL65" s="113"/>
      <c r="AM65" s="89"/>
      <c r="AN65" s="89"/>
      <c r="AO65" s="89"/>
      <c r="AP65" s="89"/>
      <c r="AQ65" s="89"/>
      <c r="AR65" s="89"/>
    </row>
    <row r="66" spans="1:44" x14ac:dyDescent="0.2">
      <c r="A66" s="165"/>
      <c r="B66" s="185" t="str">
        <f>ctArbeitsgebiete!D18</f>
        <v>B10</v>
      </c>
      <c r="C66" s="193" t="str">
        <f>IF(ctArbeitsgebiete!E18&lt;&gt;"",ctArbeitsgebiete!E18,"")</f>
        <v/>
      </c>
      <c r="D66" s="194"/>
      <c r="E66" s="913"/>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322"/>
      <c r="AJ66" s="195">
        <f t="shared" si="14"/>
        <v>0</v>
      </c>
      <c r="AK66" s="152"/>
      <c r="AL66" s="113"/>
      <c r="AM66" s="89"/>
      <c r="AN66" s="89"/>
      <c r="AO66" s="89"/>
      <c r="AP66" s="89"/>
      <c r="AQ66" s="89"/>
      <c r="AR66" s="89"/>
    </row>
    <row r="67" spans="1:44" x14ac:dyDescent="0.2">
      <c r="A67" s="165"/>
      <c r="B67" s="185" t="str">
        <f>ctArbeitsgebiete!D19</f>
        <v>B11</v>
      </c>
      <c r="C67" s="193" t="str">
        <f>IF(ctArbeitsgebiete!E19&lt;&gt;"",ctArbeitsgebiete!E19,"")</f>
        <v/>
      </c>
      <c r="D67" s="194"/>
      <c r="E67" s="913"/>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322"/>
      <c r="AJ67" s="195">
        <f t="shared" si="14"/>
        <v>0</v>
      </c>
      <c r="AK67" s="152"/>
      <c r="AL67" s="113"/>
      <c r="AM67" s="89"/>
      <c r="AN67" s="89"/>
      <c r="AO67" s="89"/>
      <c r="AP67" s="89"/>
      <c r="AQ67" s="89"/>
      <c r="AR67" s="89"/>
    </row>
    <row r="68" spans="1:44" x14ac:dyDescent="0.2">
      <c r="A68" s="165"/>
      <c r="B68" s="189" t="str">
        <f>ctArbeitsgebiete!D20</f>
        <v>B12</v>
      </c>
      <c r="C68" s="196" t="str">
        <f>IF(ctArbeitsgebiete!E20&lt;&gt;"",ctArbeitsgebiete!E20,"")</f>
        <v/>
      </c>
      <c r="D68" s="197"/>
      <c r="E68" s="914"/>
      <c r="F68" s="915"/>
      <c r="G68" s="915"/>
      <c r="H68" s="915"/>
      <c r="I68" s="915"/>
      <c r="J68" s="915"/>
      <c r="K68" s="915"/>
      <c r="L68" s="915"/>
      <c r="M68" s="915"/>
      <c r="N68" s="915"/>
      <c r="O68" s="915"/>
      <c r="P68" s="915"/>
      <c r="Q68" s="915"/>
      <c r="R68" s="915"/>
      <c r="S68" s="915"/>
      <c r="T68" s="915"/>
      <c r="U68" s="915"/>
      <c r="V68" s="915"/>
      <c r="W68" s="915"/>
      <c r="X68" s="915"/>
      <c r="Y68" s="915"/>
      <c r="Z68" s="915"/>
      <c r="AA68" s="915"/>
      <c r="AB68" s="915"/>
      <c r="AC68" s="915"/>
      <c r="AD68" s="915"/>
      <c r="AE68" s="915"/>
      <c r="AF68" s="915"/>
      <c r="AG68" s="915"/>
      <c r="AH68" s="915"/>
      <c r="AI68" s="916"/>
      <c r="AJ68" s="198">
        <f t="shared" si="14"/>
        <v>0</v>
      </c>
      <c r="AK68" s="912"/>
      <c r="AL68" s="113"/>
      <c r="AM68" s="89"/>
      <c r="AN68" s="89"/>
      <c r="AO68" s="89"/>
      <c r="AP68" s="89"/>
      <c r="AQ68" s="89"/>
      <c r="AR68" s="89"/>
    </row>
    <row r="69" spans="1:44" x14ac:dyDescent="0.2">
      <c r="A69" s="165"/>
      <c r="B69" s="1066" t="str">
        <f>ctArbeitsgebiete!G9</f>
        <v>C01</v>
      </c>
      <c r="C69" s="1076" t="str">
        <f>IF(ctArbeitsgebiete!H9&lt;&gt;"",ctArbeitsgebiete!H9,"")</f>
        <v/>
      </c>
      <c r="D69" s="1077"/>
      <c r="E69" s="1069"/>
      <c r="F69" s="1070"/>
      <c r="G69" s="1070"/>
      <c r="H69" s="1070"/>
      <c r="I69" s="1070"/>
      <c r="J69" s="1070"/>
      <c r="K69" s="1070"/>
      <c r="L69" s="1070"/>
      <c r="M69" s="1070"/>
      <c r="N69" s="1070"/>
      <c r="O69" s="1070"/>
      <c r="P69" s="1070"/>
      <c r="Q69" s="1070"/>
      <c r="R69" s="1070"/>
      <c r="S69" s="1070"/>
      <c r="T69" s="1070"/>
      <c r="U69" s="1070"/>
      <c r="V69" s="1070"/>
      <c r="W69" s="1070"/>
      <c r="X69" s="1070"/>
      <c r="Y69" s="1070"/>
      <c r="Z69" s="1070"/>
      <c r="AA69" s="1070"/>
      <c r="AB69" s="1070"/>
      <c r="AC69" s="1070"/>
      <c r="AD69" s="1070"/>
      <c r="AE69" s="1070"/>
      <c r="AF69" s="1070"/>
      <c r="AG69" s="1070"/>
      <c r="AH69" s="1070"/>
      <c r="AI69" s="1071"/>
      <c r="AJ69" s="1078">
        <f t="shared" si="14"/>
        <v>0</v>
      </c>
      <c r="AK69" s="1060"/>
      <c r="AL69" s="113"/>
      <c r="AM69" s="89"/>
      <c r="AN69" s="89"/>
      <c r="AO69" s="89"/>
      <c r="AP69" s="89"/>
      <c r="AQ69" s="89"/>
      <c r="AR69" s="89"/>
    </row>
    <row r="70" spans="1:44" x14ac:dyDescent="0.2">
      <c r="A70" s="165"/>
      <c r="B70" s="185" t="str">
        <f>ctArbeitsgebiete!G10</f>
        <v>C02</v>
      </c>
      <c r="C70" s="199" t="str">
        <f>IF(ctArbeitsgebiete!H10&lt;&gt;"",ctArbeitsgebiete!H10,"")</f>
        <v/>
      </c>
      <c r="D70" s="200"/>
      <c r="E70" s="913"/>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322"/>
      <c r="AJ70" s="201">
        <f t="shared" si="14"/>
        <v>0</v>
      </c>
      <c r="AK70" s="152"/>
      <c r="AL70" s="113"/>
      <c r="AM70" s="89"/>
      <c r="AN70" s="89"/>
      <c r="AO70" s="89"/>
      <c r="AP70" s="89"/>
      <c r="AQ70" s="89"/>
      <c r="AR70" s="89"/>
    </row>
    <row r="71" spans="1:44" x14ac:dyDescent="0.2">
      <c r="A71" s="165"/>
      <c r="B71" s="185" t="str">
        <f>ctArbeitsgebiete!G11</f>
        <v>C03</v>
      </c>
      <c r="C71" s="199" t="str">
        <f>IF(ctArbeitsgebiete!H11&lt;&gt;"",ctArbeitsgebiete!H11,"")</f>
        <v/>
      </c>
      <c r="D71" s="200"/>
      <c r="E71" s="913"/>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322"/>
      <c r="AJ71" s="201">
        <f t="shared" si="14"/>
        <v>0</v>
      </c>
      <c r="AK71" s="152"/>
      <c r="AL71" s="113"/>
      <c r="AM71" s="89"/>
      <c r="AN71" s="89"/>
      <c r="AO71" s="89"/>
      <c r="AP71" s="89"/>
      <c r="AQ71" s="89"/>
      <c r="AR71" s="89"/>
    </row>
    <row r="72" spans="1:44" x14ac:dyDescent="0.2">
      <c r="A72" s="165"/>
      <c r="B72" s="185" t="str">
        <f>ctArbeitsgebiete!G12</f>
        <v>C04</v>
      </c>
      <c r="C72" s="199" t="str">
        <f>IF(ctArbeitsgebiete!H12&lt;&gt;"",ctArbeitsgebiete!H12,"")</f>
        <v/>
      </c>
      <c r="D72" s="200"/>
      <c r="E72" s="913"/>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322"/>
      <c r="AJ72" s="201">
        <f t="shared" si="14"/>
        <v>0</v>
      </c>
      <c r="AK72" s="152"/>
      <c r="AL72" s="113"/>
      <c r="AM72" s="89"/>
      <c r="AN72" s="89"/>
      <c r="AO72" s="89"/>
      <c r="AP72" s="89"/>
      <c r="AQ72" s="89"/>
      <c r="AR72" s="89"/>
    </row>
    <row r="73" spans="1:44" x14ac:dyDescent="0.2">
      <c r="A73" s="165"/>
      <c r="B73" s="185" t="str">
        <f>ctArbeitsgebiete!G13</f>
        <v>C05</v>
      </c>
      <c r="C73" s="199" t="str">
        <f>IF(ctArbeitsgebiete!H13&lt;&gt;"",ctArbeitsgebiete!H13,"")</f>
        <v/>
      </c>
      <c r="D73" s="200"/>
      <c r="E73" s="913"/>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322"/>
      <c r="AJ73" s="201">
        <f t="shared" si="14"/>
        <v>0</v>
      </c>
      <c r="AK73" s="152"/>
      <c r="AL73" s="113"/>
      <c r="AM73" s="89"/>
      <c r="AN73" s="89"/>
      <c r="AO73" s="89"/>
      <c r="AP73" s="89"/>
      <c r="AQ73" s="89"/>
      <c r="AR73" s="89"/>
    </row>
    <row r="74" spans="1:44" x14ac:dyDescent="0.2">
      <c r="A74" s="165"/>
      <c r="B74" s="185" t="str">
        <f>ctArbeitsgebiete!G14</f>
        <v>C06</v>
      </c>
      <c r="C74" s="199" t="str">
        <f>IF(ctArbeitsgebiete!H14&lt;&gt;"",ctArbeitsgebiete!H14,"")</f>
        <v/>
      </c>
      <c r="D74" s="200"/>
      <c r="E74" s="913"/>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322"/>
      <c r="AJ74" s="201">
        <f t="shared" si="14"/>
        <v>0</v>
      </c>
      <c r="AK74" s="152"/>
      <c r="AL74" s="113"/>
      <c r="AM74" s="89"/>
      <c r="AN74" s="89"/>
      <c r="AO74" s="89"/>
      <c r="AP74" s="89"/>
      <c r="AQ74" s="89"/>
      <c r="AR74" s="89"/>
    </row>
    <row r="75" spans="1:44" x14ac:dyDescent="0.2">
      <c r="A75" s="165"/>
      <c r="B75" s="185" t="str">
        <f>ctArbeitsgebiete!G15</f>
        <v>C07</v>
      </c>
      <c r="C75" s="199" t="str">
        <f>IF(ctArbeitsgebiete!H15&lt;&gt;"",ctArbeitsgebiete!H15,"")</f>
        <v/>
      </c>
      <c r="D75" s="200"/>
      <c r="E75" s="913"/>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322"/>
      <c r="AJ75" s="201">
        <f t="shared" si="14"/>
        <v>0</v>
      </c>
      <c r="AK75" s="152"/>
      <c r="AL75" s="113"/>
      <c r="AM75" s="89"/>
      <c r="AN75" s="89"/>
      <c r="AO75" s="89"/>
      <c r="AP75" s="89"/>
      <c r="AQ75" s="89"/>
      <c r="AR75" s="89"/>
    </row>
    <row r="76" spans="1:44" x14ac:dyDescent="0.2">
      <c r="A76" s="165"/>
      <c r="B76" s="189" t="str">
        <f>ctArbeitsgebiete!G16</f>
        <v>C08</v>
      </c>
      <c r="C76" s="202" t="str">
        <f>IF(ctArbeitsgebiete!H16&lt;&gt;"",ctArbeitsgebiete!H16,"")</f>
        <v/>
      </c>
      <c r="D76" s="203"/>
      <c r="E76" s="914"/>
      <c r="F76" s="915"/>
      <c r="G76" s="915"/>
      <c r="H76" s="915"/>
      <c r="I76" s="915"/>
      <c r="J76" s="915"/>
      <c r="K76" s="915"/>
      <c r="L76" s="915"/>
      <c r="M76" s="915"/>
      <c r="N76" s="915"/>
      <c r="O76" s="915"/>
      <c r="P76" s="915"/>
      <c r="Q76" s="915"/>
      <c r="R76" s="915"/>
      <c r="S76" s="915"/>
      <c r="T76" s="915"/>
      <c r="U76" s="915"/>
      <c r="V76" s="915"/>
      <c r="W76" s="915"/>
      <c r="X76" s="915"/>
      <c r="Y76" s="915"/>
      <c r="Z76" s="915"/>
      <c r="AA76" s="915"/>
      <c r="AB76" s="915"/>
      <c r="AC76" s="915"/>
      <c r="AD76" s="915"/>
      <c r="AE76" s="915"/>
      <c r="AF76" s="915"/>
      <c r="AG76" s="915"/>
      <c r="AH76" s="915"/>
      <c r="AI76" s="916"/>
      <c r="AJ76" s="204">
        <f t="shared" si="14"/>
        <v>0</v>
      </c>
      <c r="AK76" s="912"/>
      <c r="AL76" s="113"/>
      <c r="AM76" s="89"/>
      <c r="AN76" s="89"/>
      <c r="AO76" s="89"/>
      <c r="AP76" s="89"/>
      <c r="AQ76" s="89"/>
      <c r="AR76" s="89"/>
    </row>
    <row r="77" spans="1:44" x14ac:dyDescent="0.2">
      <c r="A77" s="165"/>
      <c r="B77" s="1066" t="str">
        <f>ctArbeitsgebiete!J9</f>
        <v>D01</v>
      </c>
      <c r="C77" s="1079" t="str">
        <f>IF(ctArbeitsgebiete!K9&lt;&gt;"",ctArbeitsgebiete!K9,"")</f>
        <v>DAG</v>
      </c>
      <c r="D77" s="1080"/>
      <c r="E77" s="1069"/>
      <c r="F77" s="1070"/>
      <c r="G77" s="1070"/>
      <c r="H77" s="1070"/>
      <c r="I77" s="1070"/>
      <c r="J77" s="1070"/>
      <c r="K77" s="1070"/>
      <c r="L77" s="1070"/>
      <c r="M77" s="1070"/>
      <c r="N77" s="1070"/>
      <c r="O77" s="1070"/>
      <c r="P77" s="1070"/>
      <c r="Q77" s="1070"/>
      <c r="R77" s="1070"/>
      <c r="S77" s="1070"/>
      <c r="T77" s="1070"/>
      <c r="U77" s="1070"/>
      <c r="V77" s="1070"/>
      <c r="W77" s="1070"/>
      <c r="X77" s="1070"/>
      <c r="Y77" s="1070"/>
      <c r="Z77" s="1070"/>
      <c r="AA77" s="1070"/>
      <c r="AB77" s="1070"/>
      <c r="AC77" s="1070"/>
      <c r="AD77" s="1070"/>
      <c r="AE77" s="1070"/>
      <c r="AF77" s="1070"/>
      <c r="AG77" s="1070"/>
      <c r="AH77" s="1070"/>
      <c r="AI77" s="1071"/>
      <c r="AJ77" s="1059">
        <f t="shared" si="14"/>
        <v>0</v>
      </c>
      <c r="AK77" s="1060"/>
      <c r="AL77" s="113"/>
      <c r="AM77" s="89"/>
      <c r="AN77" s="89"/>
      <c r="AO77" s="89"/>
      <c r="AP77" s="89"/>
      <c r="AQ77" s="89"/>
      <c r="AR77" s="89"/>
    </row>
    <row r="78" spans="1:44" x14ac:dyDescent="0.2">
      <c r="A78" s="165"/>
      <c r="B78" s="185" t="str">
        <f>ctArbeitsgebiete!J10</f>
        <v>D02</v>
      </c>
      <c r="C78" s="205" t="str">
        <f>IF(ctArbeitsgebiete!K10&lt;&gt;"",ctArbeitsgebiete!K10,"")</f>
        <v>Betriebsausflug</v>
      </c>
      <c r="D78" s="206"/>
      <c r="E78" s="913"/>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322"/>
      <c r="AJ78" s="174">
        <f t="shared" si="14"/>
        <v>0</v>
      </c>
      <c r="AK78" s="152"/>
      <c r="AL78" s="113"/>
      <c r="AM78" s="89"/>
      <c r="AN78" s="89"/>
      <c r="AO78" s="89"/>
      <c r="AP78" s="89"/>
      <c r="AQ78" s="89"/>
      <c r="AR78" s="89"/>
    </row>
    <row r="79" spans="1:44" x14ac:dyDescent="0.2">
      <c r="A79" s="165"/>
      <c r="B79" s="185" t="str">
        <f>ctArbeitsgebiete!J11</f>
        <v>D03</v>
      </c>
      <c r="C79" s="205" t="str">
        <f>IF(ctArbeitsgebiete!K11&lt;&gt;"",ctArbeitsgebiete!K11,"")</f>
        <v/>
      </c>
      <c r="D79" s="206"/>
      <c r="E79" s="913"/>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322"/>
      <c r="AJ79" s="174">
        <f t="shared" si="14"/>
        <v>0</v>
      </c>
      <c r="AK79" s="152"/>
      <c r="AL79" s="113"/>
      <c r="AM79" s="89"/>
      <c r="AN79" s="89"/>
      <c r="AO79" s="89"/>
      <c r="AP79" s="89"/>
      <c r="AQ79" s="89"/>
      <c r="AR79" s="89"/>
    </row>
    <row r="80" spans="1:44" x14ac:dyDescent="0.2">
      <c r="A80" s="165"/>
      <c r="B80" s="185" t="str">
        <f>ctArbeitsgebiete!J12</f>
        <v>D04</v>
      </c>
      <c r="C80" s="205" t="str">
        <f>IF(ctArbeitsgebiete!K12&lt;&gt;"",ctArbeitsgebiete!K12,"")</f>
        <v/>
      </c>
      <c r="D80" s="206"/>
      <c r="E80" s="913"/>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322"/>
      <c r="AJ80" s="174">
        <f t="shared" si="14"/>
        <v>0</v>
      </c>
      <c r="AK80" s="152"/>
      <c r="AL80" s="113"/>
      <c r="AM80" s="89"/>
      <c r="AN80" s="89"/>
      <c r="AO80" s="89"/>
      <c r="AP80" s="89"/>
      <c r="AQ80" s="89"/>
      <c r="AR80" s="89"/>
    </row>
    <row r="81" spans="1:44" x14ac:dyDescent="0.2">
      <c r="A81" s="165"/>
      <c r="B81" s="185" t="str">
        <f>ctArbeitsgebiete!J13</f>
        <v>D05</v>
      </c>
      <c r="C81" s="205" t="str">
        <f>IF(ctArbeitsgebiete!K13&lt;&gt;"",ctArbeitsgebiete!K13,"")</f>
        <v/>
      </c>
      <c r="D81" s="206"/>
      <c r="E81" s="913"/>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322"/>
      <c r="AJ81" s="174">
        <f t="shared" si="14"/>
        <v>0</v>
      </c>
      <c r="AK81" s="152"/>
      <c r="AL81" s="113"/>
      <c r="AM81" s="89"/>
      <c r="AN81" s="89"/>
      <c r="AO81" s="89"/>
      <c r="AP81" s="89"/>
      <c r="AQ81" s="89"/>
      <c r="AR81" s="89"/>
    </row>
    <row r="82" spans="1:44" x14ac:dyDescent="0.2">
      <c r="A82" s="165"/>
      <c r="B82" s="185" t="str">
        <f>ctArbeitsgebiete!J14</f>
        <v>D06</v>
      </c>
      <c r="C82" s="205" t="str">
        <f>IF(ctArbeitsgebiete!K14&lt;&gt;"",ctArbeitsgebiete!K14,"")</f>
        <v/>
      </c>
      <c r="D82" s="206"/>
      <c r="E82" s="913"/>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322"/>
      <c r="AJ82" s="174">
        <f t="shared" si="14"/>
        <v>0</v>
      </c>
      <c r="AK82" s="152"/>
      <c r="AL82" s="113"/>
      <c r="AM82" s="89"/>
      <c r="AN82" s="89"/>
      <c r="AO82" s="89"/>
      <c r="AP82" s="89"/>
      <c r="AQ82" s="89"/>
      <c r="AR82" s="89"/>
    </row>
    <row r="83" spans="1:44" x14ac:dyDescent="0.2">
      <c r="A83" s="165"/>
      <c r="B83" s="185" t="str">
        <f>ctArbeitsgebiete!J15</f>
        <v>D07</v>
      </c>
      <c r="C83" s="205" t="str">
        <f>IF(ctArbeitsgebiete!K15&lt;&gt;"",ctArbeitsgebiete!K15,"")</f>
        <v/>
      </c>
      <c r="D83" s="206"/>
      <c r="E83" s="913"/>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322"/>
      <c r="AJ83" s="174">
        <f t="shared" si="14"/>
        <v>0</v>
      </c>
      <c r="AK83" s="152"/>
      <c r="AL83" s="113"/>
      <c r="AM83" s="89"/>
      <c r="AN83" s="89"/>
      <c r="AO83" s="89"/>
      <c r="AP83" s="89"/>
      <c r="AQ83" s="89"/>
      <c r="AR83" s="89"/>
    </row>
    <row r="84" spans="1:44" ht="13.5" thickBot="1" x14ac:dyDescent="0.25">
      <c r="A84" s="165"/>
      <c r="B84" s="189" t="str">
        <f>ctArbeitsgebiete!J16</f>
        <v>D08</v>
      </c>
      <c r="C84" s="207" t="str">
        <f>IF(ctArbeitsgebiete!K16&lt;&gt;"",ctArbeitsgebiete!K16,"")</f>
        <v/>
      </c>
      <c r="D84" s="208"/>
      <c r="E84" s="925"/>
      <c r="F84" s="926"/>
      <c r="G84" s="926"/>
      <c r="H84" s="926"/>
      <c r="I84" s="926"/>
      <c r="J84" s="926"/>
      <c r="K84" s="926"/>
      <c r="L84" s="926"/>
      <c r="M84" s="926"/>
      <c r="N84" s="926"/>
      <c r="O84" s="926"/>
      <c r="P84" s="926"/>
      <c r="Q84" s="926"/>
      <c r="R84" s="926"/>
      <c r="S84" s="926"/>
      <c r="T84" s="926"/>
      <c r="U84" s="926"/>
      <c r="V84" s="926"/>
      <c r="W84" s="926"/>
      <c r="X84" s="926"/>
      <c r="Y84" s="926"/>
      <c r="Z84" s="926"/>
      <c r="AA84" s="926"/>
      <c r="AB84" s="926"/>
      <c r="AC84" s="926"/>
      <c r="AD84" s="926"/>
      <c r="AE84" s="926"/>
      <c r="AF84" s="926"/>
      <c r="AG84" s="926"/>
      <c r="AH84" s="926"/>
      <c r="AI84" s="927"/>
      <c r="AJ84" s="142">
        <f t="shared" si="14"/>
        <v>0</v>
      </c>
      <c r="AK84" s="912"/>
      <c r="AL84" s="113"/>
      <c r="AM84" s="89"/>
      <c r="AN84" s="89"/>
      <c r="AO84" s="89"/>
      <c r="AP84" s="89"/>
      <c r="AQ84" s="89"/>
      <c r="AR84" s="89"/>
    </row>
    <row r="85" spans="1:44" ht="22.5" hidden="1" customHeight="1" outlineLevel="1" thickBot="1" x14ac:dyDescent="0.25">
      <c r="A85" s="229" t="s">
        <v>424</v>
      </c>
      <c r="B85" s="928"/>
      <c r="C85" s="958" t="s">
        <v>433</v>
      </c>
      <c r="D85" s="930"/>
      <c r="E85" s="931"/>
      <c r="F85" s="932"/>
      <c r="G85" s="932"/>
      <c r="H85" s="932"/>
      <c r="I85" s="932"/>
      <c r="J85" s="932"/>
      <c r="K85" s="932"/>
      <c r="L85" s="932"/>
      <c r="M85" s="932"/>
      <c r="N85" s="932"/>
      <c r="O85" s="932"/>
      <c r="P85" s="932"/>
      <c r="Q85" s="932"/>
      <c r="R85" s="932"/>
      <c r="S85" s="932"/>
      <c r="T85" s="932"/>
      <c r="U85" s="932"/>
      <c r="V85" s="932"/>
      <c r="W85" s="932"/>
      <c r="X85" s="932"/>
      <c r="Y85" s="932"/>
      <c r="Z85" s="932"/>
      <c r="AA85" s="932"/>
      <c r="AB85" s="932"/>
      <c r="AC85" s="932"/>
      <c r="AD85" s="932"/>
      <c r="AE85" s="932"/>
      <c r="AF85" s="932"/>
      <c r="AG85" s="932"/>
      <c r="AH85" s="932"/>
      <c r="AI85" s="933">
        <f>IF(AND(AI86="JA",AI14&gt;=AI16),IF(Eingabeblatt!$D$7="JA",(AI14-AI16)*1.25,AI14-AI16),IF(AND(AI86="JA",Eingabeblatt!$I$10="NEIN"),AI14-AI16,0))</f>
        <v>0</v>
      </c>
      <c r="AJ85" s="1081">
        <f>SUM(E85:AI85)</f>
        <v>0</v>
      </c>
      <c r="AK85" s="990">
        <f>ROUND(B85+D85+AJ85,8)</f>
        <v>0</v>
      </c>
      <c r="AL85" s="141" t="s">
        <v>434</v>
      </c>
      <c r="AM85" s="91"/>
      <c r="AN85" s="113"/>
      <c r="AO85" s="89"/>
      <c r="AP85" s="89"/>
      <c r="AQ85" s="89"/>
      <c r="AR85" s="89"/>
    </row>
    <row r="86" spans="1:44" ht="15" hidden="1" customHeight="1" outlineLevel="1" x14ac:dyDescent="0.2">
      <c r="A86" s="229" t="s">
        <v>424</v>
      </c>
      <c r="B86" s="934"/>
      <c r="C86" s="959" t="s">
        <v>435</v>
      </c>
      <c r="D86" s="936"/>
      <c r="E86" s="937"/>
      <c r="F86" s="938"/>
      <c r="G86" s="938"/>
      <c r="H86" s="938"/>
      <c r="I86" s="938"/>
      <c r="J86" s="938"/>
      <c r="K86" s="938"/>
      <c r="L86" s="938"/>
      <c r="M86" s="938"/>
      <c r="N86" s="938"/>
      <c r="O86" s="938"/>
      <c r="P86" s="938"/>
      <c r="Q86" s="938"/>
      <c r="R86" s="938"/>
      <c r="S86" s="938"/>
      <c r="T86" s="938"/>
      <c r="U86" s="938"/>
      <c r="V86" s="938"/>
      <c r="W86" s="938"/>
      <c r="X86" s="938"/>
      <c r="Y86" s="938"/>
      <c r="Z86" s="938"/>
      <c r="AA86" s="938"/>
      <c r="AB86" s="938"/>
      <c r="AC86" s="938"/>
      <c r="AD86" s="938"/>
      <c r="AE86" s="938"/>
      <c r="AF86" s="938"/>
      <c r="AG86" s="938"/>
      <c r="AH86" s="938"/>
      <c r="AI86" s="939" t="s">
        <v>436</v>
      </c>
      <c r="AK86" s="210"/>
      <c r="AL86" s="141" t="s">
        <v>437</v>
      </c>
      <c r="AM86" s="89"/>
      <c r="AN86" s="113"/>
      <c r="AO86" s="89"/>
      <c r="AP86" s="89"/>
      <c r="AQ86" s="89"/>
      <c r="AR86" s="89"/>
    </row>
    <row r="87" spans="1:44" ht="15" hidden="1" customHeight="1" outlineLevel="1" x14ac:dyDescent="0.2">
      <c r="A87" s="229" t="s">
        <v>424</v>
      </c>
      <c r="B87" s="934"/>
      <c r="C87" s="960" t="str">
        <f>"Zuschlagsber. = " &amp; Eingabeblatt!$D$7</f>
        <v>Zuschlagsber. = NEIN</v>
      </c>
      <c r="D87" s="936"/>
      <c r="E87" s="940"/>
      <c r="F87" s="941"/>
      <c r="G87" s="941"/>
      <c r="H87" s="941"/>
      <c r="I87" s="941"/>
      <c r="J87" s="941"/>
      <c r="K87" s="941"/>
      <c r="L87" s="941"/>
      <c r="M87" s="941"/>
      <c r="N87" s="941"/>
      <c r="O87" s="941"/>
      <c r="P87" s="941"/>
      <c r="Q87" s="941"/>
      <c r="R87" s="941"/>
      <c r="S87" s="941"/>
      <c r="T87" s="941"/>
      <c r="U87" s="941"/>
      <c r="V87" s="941"/>
      <c r="W87" s="941"/>
      <c r="X87" s="941"/>
      <c r="Y87" s="941"/>
      <c r="Z87" s="941"/>
      <c r="AA87" s="941"/>
      <c r="AB87" s="941"/>
      <c r="AC87" s="941"/>
      <c r="AD87" s="941"/>
      <c r="AE87" s="941"/>
      <c r="AF87" s="941"/>
      <c r="AG87" s="941"/>
      <c r="AH87" s="941"/>
      <c r="AI87" s="942"/>
      <c r="AK87" s="210"/>
      <c r="AL87" s="113"/>
      <c r="AM87" s="113"/>
      <c r="AN87" s="113"/>
      <c r="AO87" s="89"/>
      <c r="AP87" s="89"/>
      <c r="AQ87" s="89"/>
      <c r="AR87" s="89"/>
    </row>
    <row r="88" spans="1:44" hidden="1" outlineLevel="1" x14ac:dyDescent="0.2">
      <c r="A88" s="229"/>
      <c r="C88" s="230"/>
      <c r="E88" s="323"/>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5"/>
      <c r="AK88" s="211"/>
      <c r="AL88" s="113"/>
      <c r="AM88" s="89"/>
      <c r="AN88" s="113"/>
      <c r="AO88" s="89"/>
      <c r="AP88" s="89"/>
      <c r="AQ88" s="89"/>
      <c r="AR88" s="89"/>
    </row>
    <row r="89" spans="1:44" ht="12.75" hidden="1" customHeight="1" outlineLevel="1" x14ac:dyDescent="0.2">
      <c r="A89" s="229"/>
      <c r="C89" s="231"/>
      <c r="E89" s="326"/>
      <c r="F89" s="324"/>
      <c r="G89" s="324"/>
      <c r="H89" s="324"/>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5"/>
      <c r="AK89" s="210"/>
      <c r="AL89" s="113"/>
      <c r="AM89" s="89"/>
      <c r="AN89" s="89"/>
      <c r="AO89" s="89"/>
      <c r="AP89" s="89"/>
      <c r="AQ89" s="89"/>
      <c r="AR89" s="89"/>
    </row>
    <row r="90" spans="1:44" ht="28.5" hidden="1" customHeight="1" outlineLevel="1" x14ac:dyDescent="0.2">
      <c r="A90" s="229"/>
      <c r="C90" s="232" t="s">
        <v>439</v>
      </c>
      <c r="E90" s="326"/>
      <c r="F90" s="324"/>
      <c r="G90" s="324"/>
      <c r="H90" s="324"/>
      <c r="I90" s="324"/>
      <c r="J90" s="324"/>
      <c r="K90" s="327"/>
      <c r="L90" s="327"/>
      <c r="M90" s="327"/>
      <c r="N90" s="324"/>
      <c r="O90" s="324"/>
      <c r="P90" s="324"/>
      <c r="Q90" s="324"/>
      <c r="R90" s="324"/>
      <c r="S90" s="324"/>
      <c r="T90" s="324"/>
      <c r="U90" s="324"/>
      <c r="V90" s="324"/>
      <c r="W90" s="324"/>
      <c r="X90" s="324"/>
      <c r="Y90" s="324"/>
      <c r="Z90" s="324"/>
      <c r="AA90" s="324"/>
      <c r="AB90" s="324"/>
      <c r="AC90" s="324"/>
      <c r="AD90" s="324"/>
      <c r="AE90" s="324"/>
      <c r="AF90" s="324"/>
      <c r="AG90" s="324"/>
      <c r="AH90" s="324"/>
      <c r="AI90" s="325"/>
      <c r="AK90" s="210"/>
      <c r="AL90" s="113"/>
      <c r="AM90" s="89"/>
      <c r="AN90" s="89"/>
      <c r="AO90" s="89"/>
      <c r="AP90" s="89"/>
      <c r="AQ90" s="89"/>
      <c r="AR90" s="89"/>
    </row>
    <row r="91" spans="1:44" ht="28.5" hidden="1" customHeight="1" outlineLevel="1" thickBot="1" x14ac:dyDescent="0.3">
      <c r="A91" s="229"/>
      <c r="C91" s="233" t="s">
        <v>440</v>
      </c>
      <c r="D91" s="215"/>
      <c r="E91" s="236"/>
      <c r="F91" s="327"/>
      <c r="G91" s="327"/>
      <c r="H91" s="327"/>
      <c r="I91" s="327"/>
      <c r="J91" s="327"/>
      <c r="K91" s="327"/>
      <c r="L91" s="327"/>
      <c r="M91" s="327"/>
      <c r="N91" s="327"/>
      <c r="O91" s="327"/>
      <c r="P91" s="327"/>
      <c r="Q91" s="327"/>
      <c r="R91" s="327"/>
      <c r="S91" s="327"/>
      <c r="T91" s="327"/>
      <c r="U91" s="328"/>
      <c r="V91" s="327"/>
      <c r="W91" s="327"/>
      <c r="X91" s="327"/>
      <c r="Y91" s="327"/>
      <c r="Z91" s="327"/>
      <c r="AA91" s="327"/>
      <c r="AB91" s="327"/>
      <c r="AC91" s="327"/>
      <c r="AD91" s="327"/>
      <c r="AE91" s="327"/>
      <c r="AF91" s="328"/>
      <c r="AG91" s="327"/>
      <c r="AH91" s="943"/>
      <c r="AI91" s="329"/>
      <c r="AJ91" s="88"/>
      <c r="AK91" s="216"/>
      <c r="AL91" s="113"/>
      <c r="AM91" s="89"/>
      <c r="AN91" s="89"/>
      <c r="AO91" s="89"/>
      <c r="AP91" s="89"/>
      <c r="AQ91" s="89"/>
      <c r="AR91" s="89"/>
    </row>
    <row r="92" spans="1:44" ht="28.5" hidden="1" customHeight="1" outlineLevel="1" thickBot="1" x14ac:dyDescent="0.25">
      <c r="A92" s="229"/>
      <c r="C92" s="234" t="s">
        <v>443</v>
      </c>
      <c r="E92" s="326"/>
      <c r="F92" s="324"/>
      <c r="G92" s="324"/>
      <c r="H92" s="324"/>
      <c r="I92" s="330"/>
      <c r="J92" s="324"/>
      <c r="K92" s="327"/>
      <c r="L92" s="327"/>
      <c r="M92" s="327"/>
      <c r="N92" s="324"/>
      <c r="O92" s="324"/>
      <c r="P92" s="324"/>
      <c r="Q92" s="324"/>
      <c r="R92" s="324"/>
      <c r="S92" s="324"/>
      <c r="T92" s="324"/>
      <c r="U92" s="324"/>
      <c r="V92" s="324"/>
      <c r="W92" s="324"/>
      <c r="X92" s="324"/>
      <c r="Y92" s="324"/>
      <c r="Z92" s="324"/>
      <c r="AA92" s="324"/>
      <c r="AB92" s="324"/>
      <c r="AC92" s="324"/>
      <c r="AD92" s="324"/>
      <c r="AE92" s="324"/>
      <c r="AF92" s="324"/>
      <c r="AG92" s="324"/>
      <c r="AH92" s="324"/>
      <c r="AI92" s="325"/>
      <c r="AK92" s="210"/>
      <c r="AL92" s="113"/>
      <c r="AM92" s="89"/>
      <c r="AN92" s="89"/>
      <c r="AO92" s="89"/>
      <c r="AP92" s="89"/>
      <c r="AQ92" s="89"/>
      <c r="AR92" s="89"/>
    </row>
    <row r="93" spans="1:44" ht="28.5" hidden="1" customHeight="1" outlineLevel="1" x14ac:dyDescent="0.2">
      <c r="A93" s="229"/>
      <c r="C93" s="234"/>
      <c r="E93" s="326"/>
      <c r="F93" s="324"/>
      <c r="G93" s="324"/>
      <c r="H93" s="324"/>
      <c r="I93" s="324"/>
      <c r="J93" s="324"/>
      <c r="K93" s="327"/>
      <c r="L93" s="327"/>
      <c r="M93" s="327"/>
      <c r="N93" s="324"/>
      <c r="O93" s="324"/>
      <c r="P93" s="324"/>
      <c r="Q93" s="324"/>
      <c r="R93" s="324"/>
      <c r="S93" s="324"/>
      <c r="T93" s="324"/>
      <c r="U93" s="324"/>
      <c r="V93" s="324"/>
      <c r="W93" s="324"/>
      <c r="X93" s="324"/>
      <c r="Y93" s="324"/>
      <c r="Z93" s="324"/>
      <c r="AA93" s="324"/>
      <c r="AB93" s="324"/>
      <c r="AC93" s="324"/>
      <c r="AD93" s="324"/>
      <c r="AE93" s="324"/>
      <c r="AF93" s="324"/>
      <c r="AG93" s="324"/>
      <c r="AH93" s="324"/>
      <c r="AI93" s="325"/>
      <c r="AK93" s="210"/>
      <c r="AL93" s="113"/>
      <c r="AM93" s="89"/>
      <c r="AN93" s="89"/>
      <c r="AO93" s="89"/>
      <c r="AP93" s="89"/>
      <c r="AQ93" s="89"/>
      <c r="AR93" s="89"/>
    </row>
    <row r="94" spans="1:44" collapsed="1" x14ac:dyDescent="0.2">
      <c r="A94" s="165"/>
      <c r="B94" s="185"/>
      <c r="C94" s="340" t="str">
        <f>IF(ctArbeitsgebiete!H20&lt;&gt;"",ctArbeitsgebiete!H20,"")</f>
        <v/>
      </c>
      <c r="D94" s="334"/>
      <c r="E94" s="944"/>
      <c r="F94" s="945"/>
      <c r="G94" s="945"/>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6"/>
      <c r="AJ94" s="1082">
        <f>SUM(E94:AI94)</f>
        <v>0</v>
      </c>
      <c r="AK94" s="152"/>
      <c r="AL94" s="113"/>
      <c r="AM94" s="89"/>
      <c r="AN94" s="89"/>
      <c r="AO94" s="89"/>
      <c r="AP94" s="89"/>
      <c r="AQ94" s="89"/>
      <c r="AR94" s="89"/>
    </row>
    <row r="95" spans="1:44" x14ac:dyDescent="0.2">
      <c r="A95" s="165"/>
      <c r="B95" s="185"/>
      <c r="C95" s="340" t="str">
        <f>IF(ctArbeitsgebiete!H21&lt;&gt;"",ctArbeitsgebiete!H21,"")</f>
        <v/>
      </c>
      <c r="D95" s="334"/>
      <c r="E95" s="944"/>
      <c r="F95" s="945"/>
      <c r="G95" s="945"/>
      <c r="H95" s="945"/>
      <c r="I95" s="945"/>
      <c r="J95" s="945"/>
      <c r="K95" s="945"/>
      <c r="L95" s="945"/>
      <c r="M95" s="945"/>
      <c r="N95" s="945"/>
      <c r="O95" s="945"/>
      <c r="P95" s="945"/>
      <c r="Q95" s="945"/>
      <c r="R95" s="945"/>
      <c r="S95" s="945"/>
      <c r="T95" s="945"/>
      <c r="U95" s="945"/>
      <c r="V95" s="945"/>
      <c r="W95" s="945"/>
      <c r="X95" s="945"/>
      <c r="Y95" s="945"/>
      <c r="Z95" s="945"/>
      <c r="AA95" s="945"/>
      <c r="AB95" s="945"/>
      <c r="AC95" s="945"/>
      <c r="AD95" s="945"/>
      <c r="AE95" s="945"/>
      <c r="AF95" s="945"/>
      <c r="AG95" s="945"/>
      <c r="AH95" s="945"/>
      <c r="AI95" s="946"/>
      <c r="AJ95" s="338">
        <f t="shared" ref="AJ95:AJ105" si="15">SUM(E95:AI95)</f>
        <v>0</v>
      </c>
      <c r="AK95" s="152"/>
      <c r="AL95" s="113"/>
      <c r="AM95" s="89"/>
      <c r="AN95" s="89"/>
      <c r="AO95" s="89"/>
      <c r="AP95" s="89"/>
      <c r="AQ95" s="89"/>
      <c r="AR95" s="89"/>
    </row>
    <row r="96" spans="1:44" x14ac:dyDescent="0.2">
      <c r="A96" s="165"/>
      <c r="B96" s="185"/>
      <c r="C96" s="340" t="str">
        <f>IF(ctArbeitsgebiete!H22&lt;&gt;"",ctArbeitsgebiete!H22,"")</f>
        <v/>
      </c>
      <c r="D96" s="334"/>
      <c r="E96" s="944"/>
      <c r="F96" s="945"/>
      <c r="G96" s="945"/>
      <c r="H96" s="945"/>
      <c r="I96" s="945"/>
      <c r="J96" s="945"/>
      <c r="K96" s="945"/>
      <c r="L96" s="945"/>
      <c r="M96" s="945"/>
      <c r="N96" s="945"/>
      <c r="O96" s="945"/>
      <c r="P96" s="945"/>
      <c r="Q96" s="945"/>
      <c r="R96" s="945"/>
      <c r="S96" s="945"/>
      <c r="T96" s="945"/>
      <c r="U96" s="945"/>
      <c r="V96" s="945"/>
      <c r="W96" s="945"/>
      <c r="X96" s="945"/>
      <c r="Y96" s="945"/>
      <c r="Z96" s="945"/>
      <c r="AA96" s="945"/>
      <c r="AB96" s="945"/>
      <c r="AC96" s="945"/>
      <c r="AD96" s="945"/>
      <c r="AE96" s="945"/>
      <c r="AF96" s="945"/>
      <c r="AG96" s="945"/>
      <c r="AH96" s="945"/>
      <c r="AI96" s="946"/>
      <c r="AJ96" s="338">
        <f t="shared" si="15"/>
        <v>0</v>
      </c>
      <c r="AK96" s="152"/>
      <c r="AL96" s="113"/>
      <c r="AM96" s="89"/>
      <c r="AN96" s="89"/>
      <c r="AO96" s="89"/>
      <c r="AP96" s="89"/>
      <c r="AQ96" s="89"/>
      <c r="AR96" s="89"/>
    </row>
    <row r="97" spans="1:44" x14ac:dyDescent="0.2">
      <c r="A97" s="165"/>
      <c r="B97" s="185"/>
      <c r="C97" s="340" t="str">
        <f>IF(ctArbeitsgebiete!H23&lt;&gt;"",ctArbeitsgebiete!H23,"")</f>
        <v/>
      </c>
      <c r="D97" s="334"/>
      <c r="E97" s="944"/>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6"/>
      <c r="AJ97" s="338">
        <f t="shared" si="15"/>
        <v>0</v>
      </c>
      <c r="AK97" s="152"/>
      <c r="AL97" s="113"/>
      <c r="AM97" s="89"/>
      <c r="AN97" s="89"/>
      <c r="AO97" s="89"/>
      <c r="AP97" s="89"/>
      <c r="AQ97" s="89"/>
      <c r="AR97" s="89"/>
    </row>
    <row r="98" spans="1:44" x14ac:dyDescent="0.2">
      <c r="A98" s="165"/>
      <c r="B98" s="185"/>
      <c r="C98" s="340" t="str">
        <f>IF(ctArbeitsgebiete!H24&lt;&gt;"",ctArbeitsgebiete!H24,"")</f>
        <v/>
      </c>
      <c r="D98" s="334"/>
      <c r="E98" s="944"/>
      <c r="F98" s="945"/>
      <c r="G98" s="945"/>
      <c r="H98" s="945"/>
      <c r="I98" s="945"/>
      <c r="J98" s="945"/>
      <c r="K98" s="945"/>
      <c r="L98" s="945"/>
      <c r="M98" s="945"/>
      <c r="N98" s="945"/>
      <c r="O98" s="945"/>
      <c r="P98" s="945"/>
      <c r="Q98" s="945"/>
      <c r="R98" s="945"/>
      <c r="S98" s="945"/>
      <c r="T98" s="945"/>
      <c r="U98" s="945"/>
      <c r="V98" s="945"/>
      <c r="W98" s="945"/>
      <c r="X98" s="945"/>
      <c r="Y98" s="945"/>
      <c r="Z98" s="945"/>
      <c r="AA98" s="945"/>
      <c r="AB98" s="945"/>
      <c r="AC98" s="945"/>
      <c r="AD98" s="945"/>
      <c r="AE98" s="945"/>
      <c r="AF98" s="945"/>
      <c r="AG98" s="945"/>
      <c r="AH98" s="945"/>
      <c r="AI98" s="946"/>
      <c r="AJ98" s="338">
        <f t="shared" si="15"/>
        <v>0</v>
      </c>
      <c r="AK98" s="152"/>
      <c r="AL98" s="113"/>
      <c r="AM98" s="89"/>
      <c r="AN98" s="89"/>
      <c r="AO98" s="89"/>
      <c r="AP98" s="89"/>
      <c r="AQ98" s="89"/>
      <c r="AR98" s="89"/>
    </row>
    <row r="99" spans="1:44" x14ac:dyDescent="0.2">
      <c r="A99" s="165"/>
      <c r="B99" s="185"/>
      <c r="C99" s="340" t="str">
        <f>IF(ctArbeitsgebiete!H25&lt;&gt;"",ctArbeitsgebiete!H25,"")</f>
        <v/>
      </c>
      <c r="D99" s="334"/>
      <c r="E99" s="944"/>
      <c r="F99" s="945"/>
      <c r="G99" s="945"/>
      <c r="H99" s="945"/>
      <c r="I99" s="945"/>
      <c r="J99" s="945"/>
      <c r="K99" s="945"/>
      <c r="L99" s="945"/>
      <c r="M99" s="945"/>
      <c r="N99" s="945"/>
      <c r="O99" s="945"/>
      <c r="P99" s="945"/>
      <c r="Q99" s="945"/>
      <c r="R99" s="945"/>
      <c r="S99" s="945"/>
      <c r="T99" s="945"/>
      <c r="U99" s="945"/>
      <c r="V99" s="945"/>
      <c r="W99" s="945"/>
      <c r="X99" s="945"/>
      <c r="Y99" s="945"/>
      <c r="Z99" s="945"/>
      <c r="AA99" s="945"/>
      <c r="AB99" s="945"/>
      <c r="AC99" s="945"/>
      <c r="AD99" s="945"/>
      <c r="AE99" s="945"/>
      <c r="AF99" s="945"/>
      <c r="AG99" s="945"/>
      <c r="AH99" s="945"/>
      <c r="AI99" s="946"/>
      <c r="AJ99" s="338">
        <f t="shared" si="15"/>
        <v>0</v>
      </c>
      <c r="AK99" s="152"/>
      <c r="AL99" s="113"/>
      <c r="AM99" s="89"/>
      <c r="AN99" s="89"/>
      <c r="AO99" s="89"/>
      <c r="AP99" s="89"/>
      <c r="AQ99" s="89"/>
      <c r="AR99" s="89"/>
    </row>
    <row r="100" spans="1:44" x14ac:dyDescent="0.2">
      <c r="A100" s="165"/>
      <c r="B100" s="185"/>
      <c r="C100" s="340" t="str">
        <f>IF(ctArbeitsgebiete!H26&lt;&gt;"",ctArbeitsgebiete!H26,"")</f>
        <v/>
      </c>
      <c r="D100" s="334"/>
      <c r="E100" s="944"/>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B100" s="945"/>
      <c r="AC100" s="945"/>
      <c r="AD100" s="945"/>
      <c r="AE100" s="945"/>
      <c r="AF100" s="945"/>
      <c r="AG100" s="945"/>
      <c r="AH100" s="945"/>
      <c r="AI100" s="946"/>
      <c r="AJ100" s="338">
        <f t="shared" si="15"/>
        <v>0</v>
      </c>
      <c r="AK100" s="152"/>
      <c r="AL100" s="113"/>
      <c r="AM100" s="89"/>
      <c r="AN100" s="89"/>
      <c r="AO100" s="89"/>
      <c r="AP100" s="89"/>
      <c r="AQ100" s="89"/>
      <c r="AR100" s="89"/>
    </row>
    <row r="101" spans="1:44" x14ac:dyDescent="0.2">
      <c r="A101" s="165"/>
      <c r="B101" s="185"/>
      <c r="C101" s="345" t="str">
        <f>IF(ctArbeitsgebiete!H27&lt;&gt;"",ctArbeitsgebiete!H27,"")</f>
        <v/>
      </c>
      <c r="D101" s="346"/>
      <c r="E101" s="947"/>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9"/>
      <c r="AJ101" s="347">
        <f t="shared" si="15"/>
        <v>0</v>
      </c>
      <c r="AK101" s="152"/>
      <c r="AL101" s="113"/>
      <c r="AM101" s="89"/>
      <c r="AN101" s="89"/>
      <c r="AO101" s="89"/>
      <c r="AP101" s="89"/>
      <c r="AQ101" s="89"/>
      <c r="AR101" s="89"/>
    </row>
    <row r="102" spans="1:44" x14ac:dyDescent="0.2">
      <c r="A102" s="165"/>
      <c r="B102" s="185"/>
      <c r="C102" s="992" t="str">
        <f>IF(ctArbeitsgebiete!E24&lt;&gt;"",ctArbeitsgebiete!E24,"")</f>
        <v/>
      </c>
      <c r="D102" s="1083"/>
      <c r="E102" s="1084"/>
      <c r="F102" s="1085"/>
      <c r="G102" s="1085"/>
      <c r="H102" s="1085"/>
      <c r="I102" s="1085"/>
      <c r="J102" s="1085"/>
      <c r="K102" s="1085"/>
      <c r="L102" s="1085"/>
      <c r="M102" s="1085"/>
      <c r="N102" s="1085"/>
      <c r="O102" s="1085"/>
      <c r="P102" s="1085"/>
      <c r="Q102" s="1085"/>
      <c r="R102" s="1085"/>
      <c r="S102" s="1085"/>
      <c r="T102" s="1085"/>
      <c r="U102" s="1085"/>
      <c r="V102" s="1085"/>
      <c r="W102" s="1085"/>
      <c r="X102" s="1085"/>
      <c r="Y102" s="1085"/>
      <c r="Z102" s="1085"/>
      <c r="AA102" s="1085"/>
      <c r="AB102" s="1085"/>
      <c r="AC102" s="1085"/>
      <c r="AD102" s="1085"/>
      <c r="AE102" s="1085"/>
      <c r="AF102" s="1085"/>
      <c r="AG102" s="1085"/>
      <c r="AH102" s="1085"/>
      <c r="AI102" s="1086"/>
      <c r="AJ102" s="1087">
        <f t="shared" si="15"/>
        <v>0</v>
      </c>
      <c r="AK102" s="152"/>
      <c r="AL102" s="113"/>
      <c r="AM102" s="89"/>
      <c r="AN102" s="89"/>
      <c r="AO102" s="89"/>
      <c r="AP102" s="89"/>
      <c r="AQ102" s="89"/>
      <c r="AR102" s="89"/>
    </row>
    <row r="103" spans="1:44" x14ac:dyDescent="0.2">
      <c r="A103" s="165"/>
      <c r="B103" s="185"/>
      <c r="C103" s="342" t="str">
        <f>IF(ctArbeitsgebiete!E25&lt;&gt;"",ctArbeitsgebiete!E25,"")</f>
        <v/>
      </c>
      <c r="D103" s="341"/>
      <c r="E103" s="944"/>
      <c r="F103" s="945"/>
      <c r="G103" s="945"/>
      <c r="H103" s="945"/>
      <c r="I103" s="945"/>
      <c r="J103" s="945"/>
      <c r="K103" s="945"/>
      <c r="L103" s="945"/>
      <c r="M103" s="945"/>
      <c r="N103" s="945"/>
      <c r="O103" s="945"/>
      <c r="P103" s="945"/>
      <c r="Q103" s="945"/>
      <c r="R103" s="945"/>
      <c r="S103" s="945"/>
      <c r="T103" s="945"/>
      <c r="U103" s="945"/>
      <c r="V103" s="945"/>
      <c r="W103" s="945"/>
      <c r="X103" s="945"/>
      <c r="Y103" s="945"/>
      <c r="Z103" s="945"/>
      <c r="AA103" s="945"/>
      <c r="AB103" s="945"/>
      <c r="AC103" s="945"/>
      <c r="AD103" s="945"/>
      <c r="AE103" s="945"/>
      <c r="AF103" s="945"/>
      <c r="AG103" s="945"/>
      <c r="AH103" s="945"/>
      <c r="AI103" s="946"/>
      <c r="AJ103" s="343">
        <f t="shared" si="15"/>
        <v>0</v>
      </c>
      <c r="AK103" s="152"/>
      <c r="AL103" s="113"/>
      <c r="AM103" s="89"/>
      <c r="AN103" s="89"/>
      <c r="AO103" s="89"/>
      <c r="AP103" s="89"/>
      <c r="AQ103" s="89"/>
      <c r="AR103" s="89"/>
    </row>
    <row r="104" spans="1:44" x14ac:dyDescent="0.2">
      <c r="A104" s="165"/>
      <c r="B104" s="185"/>
      <c r="C104" s="342" t="str">
        <f>IF(ctArbeitsgebiete!E26&lt;&gt;"",ctArbeitsgebiete!E26,"")</f>
        <v/>
      </c>
      <c r="D104" s="341"/>
      <c r="E104" s="944"/>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B104" s="945"/>
      <c r="AC104" s="945"/>
      <c r="AD104" s="945"/>
      <c r="AE104" s="945"/>
      <c r="AF104" s="945"/>
      <c r="AG104" s="945"/>
      <c r="AH104" s="945"/>
      <c r="AI104" s="946"/>
      <c r="AJ104" s="343">
        <f t="shared" si="15"/>
        <v>0</v>
      </c>
      <c r="AK104" s="152"/>
      <c r="AL104" s="113"/>
      <c r="AM104" s="89"/>
      <c r="AN104" s="89"/>
      <c r="AO104" s="89"/>
      <c r="AP104" s="89"/>
      <c r="AQ104" s="89"/>
      <c r="AR104" s="89"/>
    </row>
    <row r="105" spans="1:44" ht="13.5" thickBot="1" x14ac:dyDescent="0.25">
      <c r="A105" s="165"/>
      <c r="B105" s="185"/>
      <c r="C105" s="342" t="str">
        <f>IF(ctArbeitsgebiete!E27&lt;&gt;"",ctArbeitsgebiete!E27,"")</f>
        <v/>
      </c>
      <c r="D105" s="341"/>
      <c r="E105" s="950"/>
      <c r="F105" s="951"/>
      <c r="G105" s="951"/>
      <c r="H105" s="951"/>
      <c r="I105" s="951"/>
      <c r="J105" s="951"/>
      <c r="K105" s="951"/>
      <c r="L105" s="951"/>
      <c r="M105" s="951"/>
      <c r="N105" s="951"/>
      <c r="O105" s="951"/>
      <c r="P105" s="951"/>
      <c r="Q105" s="951"/>
      <c r="R105" s="951"/>
      <c r="S105" s="951"/>
      <c r="T105" s="951"/>
      <c r="U105" s="951"/>
      <c r="V105" s="951"/>
      <c r="W105" s="951"/>
      <c r="X105" s="951"/>
      <c r="Y105" s="951"/>
      <c r="Z105" s="951"/>
      <c r="AA105" s="951"/>
      <c r="AB105" s="951"/>
      <c r="AC105" s="951"/>
      <c r="AD105" s="951"/>
      <c r="AE105" s="951"/>
      <c r="AF105" s="951"/>
      <c r="AG105" s="951"/>
      <c r="AH105" s="951"/>
      <c r="AI105" s="952"/>
      <c r="AJ105" s="344">
        <f t="shared" si="15"/>
        <v>0</v>
      </c>
      <c r="AK105" s="152"/>
      <c r="AL105" s="113"/>
      <c r="AM105" s="89"/>
      <c r="AN105" s="89"/>
      <c r="AO105" s="89"/>
      <c r="AP105" s="89"/>
      <c r="AQ105" s="89"/>
      <c r="AR105" s="89"/>
    </row>
    <row r="106" spans="1:44" s="218" customFormat="1" ht="63.75" collapsed="1" x14ac:dyDescent="0.2">
      <c r="C106" s="219" t="s">
        <v>444</v>
      </c>
      <c r="D106" s="220"/>
      <c r="E106" s="335"/>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6"/>
      <c r="AF106" s="336"/>
      <c r="AG106" s="336"/>
      <c r="AH106" s="336"/>
      <c r="AI106" s="337"/>
      <c r="AJ106" s="339">
        <f>SUM(E106:AI106)</f>
        <v>0</v>
      </c>
      <c r="AL106" s="222"/>
    </row>
  </sheetData>
  <sheetProtection algorithmName="SHA-512" hashValue="hPqXj0sgICsz2OpZejNnxPgU0AEicFpvIJF8SsRJFyT2mFdduX4hxXM13UaLE7teuhXLZ08fc1CtEgKE7dSTbA==" saltValue="2jlxW3fIb+Vs8w52p3PBSw==" spinCount="100000" sheet="1" selectLockedCells="1"/>
  <mergeCells count="1">
    <mergeCell ref="D3:D4"/>
  </mergeCells>
  <phoneticPr fontId="9" type="noConversion"/>
  <conditionalFormatting sqref="E3:AH4">
    <cfRule type="expression" dxfId="274" priority="108" stopIfTrue="1">
      <formula>WEEKDAY(E$3,2)=7</formula>
    </cfRule>
  </conditionalFormatting>
  <conditionalFormatting sqref="E11:AH11">
    <cfRule type="expression" dxfId="273" priority="103" stopIfTrue="1">
      <formula>WEEKDAY(E$3,2)=6</formula>
    </cfRule>
    <cfRule type="expression" dxfId="272" priority="104" stopIfTrue="1">
      <formula>WEEKDAY(E$3,2)=7</formula>
    </cfRule>
  </conditionalFormatting>
  <conditionalFormatting sqref="E12:AH12">
    <cfRule type="expression" dxfId="271" priority="105" stopIfTrue="1">
      <formula>WEEKDAY(E$3,2)=6</formula>
    </cfRule>
    <cfRule type="expression" dxfId="270" priority="106" stopIfTrue="1">
      <formula>WEEKDAY(E$3,2)=7</formula>
    </cfRule>
  </conditionalFormatting>
  <conditionalFormatting sqref="E3:AI4">
    <cfRule type="expression" dxfId="269" priority="107" stopIfTrue="1">
      <formula>WEEKDAY(E$3,2)=6</formula>
    </cfRule>
  </conditionalFormatting>
  <conditionalFormatting sqref="E7:AI7 E9:AI9">
    <cfRule type="expression" dxfId="268" priority="1" stopIfTrue="1">
      <formula>WEEKDAY(E$3,2)=6</formula>
    </cfRule>
    <cfRule type="expression" dxfId="267" priority="2" stopIfTrue="1">
      <formula>WEEKDAY(E$3,2)=7</formula>
    </cfRule>
  </conditionalFormatting>
  <conditionalFormatting sqref="E8:AI8 E10:AI10">
    <cfRule type="expression" dxfId="266" priority="3" stopIfTrue="1">
      <formula>WEEKDAY(E$3,2)=6</formula>
    </cfRule>
    <cfRule type="expression" dxfId="265" priority="4" stopIfTrue="1">
      <formula>WEEKDAY(E$3,2)=7</formula>
    </cfRule>
  </conditionalFormatting>
  <conditionalFormatting sqref="E13:AI18">
    <cfRule type="expression" dxfId="264" priority="109" stopIfTrue="1">
      <formula>WEEKDAY(E$3,2)=6</formula>
    </cfRule>
    <cfRule type="expression" dxfId="263" priority="110" stopIfTrue="1">
      <formula>WEEKDAY(E$3,2)=7</formula>
    </cfRule>
  </conditionalFormatting>
  <conditionalFormatting sqref="E19:AI19">
    <cfRule type="expression" dxfId="262" priority="111" stopIfTrue="1">
      <formula>WEEKDAY(E$3,2)=6</formula>
    </cfRule>
    <cfRule type="expression" dxfId="261" priority="112" stopIfTrue="1">
      <formula>WEEKDAY(E$3,2)=7</formula>
    </cfRule>
  </conditionalFormatting>
  <conditionalFormatting sqref="E20:AI20 E39:AI39">
    <cfRule type="expression" dxfId="260" priority="101" stopIfTrue="1">
      <formula>WEEKDAY(E$3,2)=6</formula>
    </cfRule>
    <cfRule type="expression" dxfId="259" priority="102" stopIfTrue="1">
      <formula>WEEKDAY(E$3,2)=7</formula>
    </cfRule>
  </conditionalFormatting>
  <conditionalFormatting sqref="E21:AI21 E33:AI38">
    <cfRule type="expression" dxfId="258" priority="97" stopIfTrue="1">
      <formula>WEEKDAY(E$3,2)=6</formula>
    </cfRule>
    <cfRule type="expression" dxfId="257" priority="98" stopIfTrue="1">
      <formula>WEEKDAY(E$3,2)=7</formula>
    </cfRule>
  </conditionalFormatting>
  <conditionalFormatting sqref="E22:AI32 E41:AI85 E94:AI106">
    <cfRule type="expression" dxfId="256" priority="99" stopIfTrue="1">
      <formula>WEEKDAY(E$3,2)=6</formula>
    </cfRule>
    <cfRule type="expression" dxfId="255" priority="100" stopIfTrue="1">
      <formula>WEEKDAY(E$3,2)=7</formula>
    </cfRule>
  </conditionalFormatting>
  <conditionalFormatting sqref="E40:AI40">
    <cfRule type="cellIs" dxfId="254" priority="113" stopIfTrue="1" operator="notEqual">
      <formula>0</formula>
    </cfRule>
    <cfRule type="expression" dxfId="253" priority="114" stopIfTrue="1">
      <formula>WEEKDAY(E$3,2)=6</formula>
    </cfRule>
    <cfRule type="expression" dxfId="252" priority="115" stopIfTrue="1">
      <formula>WEEKDAY(E$3,2)=7</formula>
    </cfRule>
  </conditionalFormatting>
  <conditionalFormatting sqref="AI3:AI4">
    <cfRule type="expression" dxfId="251" priority="119" stopIfTrue="1">
      <formula>WEEKDAY(AI$3,2)=7</formula>
    </cfRule>
  </conditionalFormatting>
  <conditionalFormatting sqref="AI11:AI12">
    <cfRule type="expression" dxfId="250" priority="116" stopIfTrue="1">
      <formula>WEEKDAY(AI$3,2)=6</formula>
    </cfRule>
    <cfRule type="expression" dxfId="249" priority="117" stopIfTrue="1">
      <formula>WEEKDAY(AI$3,2)=7</formula>
    </cfRule>
  </conditionalFormatting>
  <printOptions horizontalCentered="1" verticalCentered="1"/>
  <pageMargins left="0.19685039370078741" right="0.19685039370078741" top="0.39370078740157483" bottom="0.19685039370078741" header="0.31496062992125984" footer="0.19685039370078741"/>
  <pageSetup paperSize="9" scale="53" orientation="landscape"/>
  <headerFooter>
    <oddHeader>&amp;C&amp;12Monatsabrechnung   &amp;A</oddHead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pageSetUpPr fitToPage="1"/>
  </sheetPr>
  <dimension ref="A1:AT106"/>
  <sheetViews>
    <sheetView showGridLines="0" showRowColHeaders="0" showZeros="0" showOutlineSymbols="0" topLeftCell="C2" zoomScale="80" zoomScaleNormal="80" workbookViewId="0">
      <pane xSplit="2" ySplit="39" topLeftCell="E41" activePane="bottomRight" state="frozen"/>
      <selection pane="topRight"/>
      <selection pane="bottomLeft"/>
      <selection pane="bottomRight" activeCell="E7" sqref="E7"/>
    </sheetView>
  </sheetViews>
  <sheetFormatPr baseColWidth="10" defaultColWidth="11.42578125" defaultRowHeight="12.75" outlineLevelRow="2" outlineLevelCol="1" x14ac:dyDescent="0.2"/>
  <cols>
    <col min="1" max="1" width="11.42578125" style="8" hidden="1" customWidth="1" outlineLevel="1"/>
    <col min="2" max="2" width="8.42578125" style="13" hidden="1" customWidth="1" outlineLevel="1"/>
    <col min="3" max="3" width="22.42578125" style="87" customWidth="1" collapsed="1"/>
    <col min="4" max="4" width="7.85546875" style="13" customWidth="1"/>
    <col min="5" max="35" width="7.42578125" style="13" customWidth="1"/>
    <col min="36" max="36" width="7.42578125" style="209" customWidth="1"/>
    <col min="37" max="37" width="7.7109375" style="13" hidden="1" customWidth="1" outlineLevel="1"/>
    <col min="38" max="38" width="15.7109375" style="182" hidden="1" customWidth="1" outlineLevel="1"/>
    <col min="39" max="40" width="0" style="8" hidden="1" customWidth="1" outlineLevel="1"/>
    <col min="41" max="41" width="26.7109375" style="8" hidden="1" customWidth="1" outlineLevel="1"/>
    <col min="42" max="44" width="0" style="8" hidden="1" customWidth="1" outlineLevel="1"/>
    <col min="45" max="45" width="11.42578125" style="8" collapsed="1"/>
    <col min="46" max="16384" width="11.42578125" style="8"/>
  </cols>
  <sheetData>
    <row r="1" spans="2:46" ht="30" hidden="1" customHeight="1" outlineLevel="1" thickBot="1" x14ac:dyDescent="0.25">
      <c r="AF1" s="8"/>
      <c r="AJ1" s="88"/>
      <c r="AK1" s="89"/>
      <c r="AL1" s="90" t="s">
        <v>406</v>
      </c>
      <c r="AM1" s="91" t="s">
        <v>407</v>
      </c>
      <c r="AN1" s="89"/>
      <c r="AO1" s="89"/>
      <c r="AP1" s="89"/>
      <c r="AQ1" s="89"/>
      <c r="AR1" s="89"/>
    </row>
    <row r="2" spans="2:46" ht="30" customHeight="1" collapsed="1" thickBot="1" x14ac:dyDescent="0.25">
      <c r="C2" s="92">
        <f>DATEVALUE("1.3."&amp;YEAR(ctPersonalangaben!H12))</f>
        <v>44620</v>
      </c>
      <c r="D2" s="93">
        <f>YEAR(ctPersonalangaben!H12)</f>
        <v>2026</v>
      </c>
      <c r="E2" s="897" t="str">
        <f>CONCATENATE("Arbeitszeit-Eingabe von ",Mitarbeiter)</f>
        <v>Arbeitszeit-Eingabe von Max Muster, Musterstelle</v>
      </c>
      <c r="F2" s="6"/>
      <c r="G2" s="6"/>
      <c r="H2" s="6"/>
      <c r="I2" s="94"/>
      <c r="J2" s="6"/>
      <c r="K2" s="6"/>
      <c r="L2" s="6"/>
      <c r="M2" s="6"/>
      <c r="N2" s="6"/>
      <c r="O2" s="6"/>
      <c r="P2" s="6"/>
      <c r="Q2" s="6"/>
      <c r="R2" s="6"/>
      <c r="S2" s="95"/>
      <c r="T2" s="96"/>
      <c r="U2" s="96"/>
      <c r="V2" s="97"/>
      <c r="W2" s="97"/>
      <c r="X2" s="97"/>
      <c r="Y2" s="97"/>
      <c r="Z2" s="97"/>
      <c r="AA2" s="97"/>
      <c r="AB2" s="97"/>
      <c r="AC2" s="97"/>
      <c r="AD2" s="98"/>
      <c r="AE2" s="97"/>
      <c r="AF2" s="99"/>
      <c r="AG2" s="100" t="s">
        <v>408</v>
      </c>
      <c r="AH2" s="99">
        <f>VLOOKUP(DATE($D$2,MONTH($C$2),$E$4),Ferienanspruch,3,TRUE)</f>
        <v>100</v>
      </c>
      <c r="AI2" s="101" t="s">
        <v>106</v>
      </c>
      <c r="AJ2" s="88"/>
      <c r="AK2" s="102"/>
      <c r="AL2" s="91"/>
      <c r="AM2" s="91" t="s">
        <v>409</v>
      </c>
      <c r="AN2" s="89"/>
      <c r="AO2" s="89"/>
      <c r="AP2" s="89"/>
      <c r="AQ2" s="89"/>
      <c r="AR2" s="89"/>
    </row>
    <row r="3" spans="2:46" x14ac:dyDescent="0.2">
      <c r="C3" s="7"/>
      <c r="D3" s="1254" t="s">
        <v>254</v>
      </c>
      <c r="E3" s="226">
        <f t="shared" ref="E3:AF3" si="0">DATE($D$2,MONTH($C$2),E$4)</f>
        <v>44620</v>
      </c>
      <c r="F3" s="103">
        <f t="shared" si="0"/>
        <v>44621</v>
      </c>
      <c r="G3" s="103">
        <f t="shared" si="0"/>
        <v>44622</v>
      </c>
      <c r="H3" s="103">
        <f t="shared" si="0"/>
        <v>44623</v>
      </c>
      <c r="I3" s="226">
        <f t="shared" si="0"/>
        <v>44624</v>
      </c>
      <c r="J3" s="103">
        <f t="shared" si="0"/>
        <v>44625</v>
      </c>
      <c r="K3" s="103">
        <f t="shared" si="0"/>
        <v>44626</v>
      </c>
      <c r="L3" s="103">
        <f t="shared" si="0"/>
        <v>44627</v>
      </c>
      <c r="M3" s="103">
        <f t="shared" si="0"/>
        <v>44628</v>
      </c>
      <c r="N3" s="103">
        <f t="shared" si="0"/>
        <v>44629</v>
      </c>
      <c r="O3" s="103">
        <f t="shared" si="0"/>
        <v>44630</v>
      </c>
      <c r="P3" s="103">
        <f t="shared" si="0"/>
        <v>44631</v>
      </c>
      <c r="Q3" s="103">
        <f t="shared" si="0"/>
        <v>44632</v>
      </c>
      <c r="R3" s="103">
        <f t="shared" si="0"/>
        <v>44633</v>
      </c>
      <c r="S3" s="103">
        <f t="shared" si="0"/>
        <v>44634</v>
      </c>
      <c r="T3" s="103">
        <f t="shared" si="0"/>
        <v>44635</v>
      </c>
      <c r="U3" s="103">
        <f t="shared" si="0"/>
        <v>44636</v>
      </c>
      <c r="V3" s="103">
        <f t="shared" si="0"/>
        <v>44637</v>
      </c>
      <c r="W3" s="103">
        <f t="shared" si="0"/>
        <v>44638</v>
      </c>
      <c r="X3" s="103">
        <f t="shared" si="0"/>
        <v>44639</v>
      </c>
      <c r="Y3" s="103">
        <f t="shared" si="0"/>
        <v>44640</v>
      </c>
      <c r="Z3" s="103">
        <f t="shared" si="0"/>
        <v>44641</v>
      </c>
      <c r="AA3" s="103">
        <f t="shared" si="0"/>
        <v>44642</v>
      </c>
      <c r="AB3" s="103">
        <f t="shared" si="0"/>
        <v>44643</v>
      </c>
      <c r="AC3" s="103">
        <f t="shared" si="0"/>
        <v>44644</v>
      </c>
      <c r="AD3" s="104">
        <f t="shared" si="0"/>
        <v>44645</v>
      </c>
      <c r="AE3" s="104">
        <f t="shared" si="0"/>
        <v>44646</v>
      </c>
      <c r="AF3" s="104">
        <f t="shared" si="0"/>
        <v>44647</v>
      </c>
      <c r="AG3" s="104">
        <f>IF(MONTH($C2+AG$5) = MONTH($C2),DATE($D$2,MONTH($C$2),AG$5+1),"")</f>
        <v>44648</v>
      </c>
      <c r="AH3" s="104">
        <f>IF(MONTH($C2+AH$5) = MONTH($C2),DATE($D$2,MONTH($C$2),AH$5+1),"")</f>
        <v>44649</v>
      </c>
      <c r="AI3" s="105">
        <f>IF(MONTH($C2+AI$5) = MONTH($C2),DATE($D$2,MONTH($C$2),AI$5+1),"")</f>
        <v>44650</v>
      </c>
      <c r="AJ3" s="88"/>
      <c r="AK3" s="106"/>
      <c r="AL3" s="91"/>
      <c r="AM3" s="91"/>
      <c r="AN3" s="89"/>
      <c r="AO3" s="89"/>
      <c r="AP3" s="89"/>
      <c r="AQ3" s="89"/>
      <c r="AR3" s="89"/>
    </row>
    <row r="4" spans="2:46" ht="19.5" customHeight="1" x14ac:dyDescent="0.2">
      <c r="C4" s="13"/>
      <c r="D4" s="1255"/>
      <c r="E4" s="227">
        <v>1</v>
      </c>
      <c r="F4" s="107">
        <v>2</v>
      </c>
      <c r="G4" s="107">
        <v>3</v>
      </c>
      <c r="H4" s="107">
        <v>4</v>
      </c>
      <c r="I4" s="227">
        <v>5</v>
      </c>
      <c r="J4" s="107">
        <v>6</v>
      </c>
      <c r="K4" s="107">
        <v>7</v>
      </c>
      <c r="L4" s="107">
        <v>8</v>
      </c>
      <c r="M4" s="107">
        <v>9</v>
      </c>
      <c r="N4" s="107">
        <v>10</v>
      </c>
      <c r="O4" s="107">
        <v>11</v>
      </c>
      <c r="P4" s="107">
        <v>12</v>
      </c>
      <c r="Q4" s="107">
        <v>13</v>
      </c>
      <c r="R4" s="107">
        <v>14</v>
      </c>
      <c r="S4" s="107">
        <v>15</v>
      </c>
      <c r="T4" s="107">
        <v>16</v>
      </c>
      <c r="U4" s="107">
        <v>17</v>
      </c>
      <c r="V4" s="107">
        <v>18</v>
      </c>
      <c r="W4" s="107">
        <v>19</v>
      </c>
      <c r="X4" s="107">
        <v>20</v>
      </c>
      <c r="Y4" s="107">
        <v>21</v>
      </c>
      <c r="Z4" s="107">
        <v>22</v>
      </c>
      <c r="AA4" s="107">
        <v>23</v>
      </c>
      <c r="AB4" s="107">
        <v>24</v>
      </c>
      <c r="AC4" s="107">
        <v>25</v>
      </c>
      <c r="AD4" s="107">
        <v>26</v>
      </c>
      <c r="AE4" s="107">
        <v>27</v>
      </c>
      <c r="AF4" s="107">
        <v>28</v>
      </c>
      <c r="AG4" s="107">
        <f>IF(MONTH($C2+AG5) = MONTH($C2),AG$5+1,"")</f>
        <v>29</v>
      </c>
      <c r="AH4" s="107">
        <f>IF(MONTH($C2+AH5) = MONTH($C2),AH$5+1,"")</f>
        <v>30</v>
      </c>
      <c r="AI4" s="108">
        <f>IF(MONTH($C2+AI5) = MONTH($C2),AI$5+1,"")</f>
        <v>31</v>
      </c>
      <c r="AJ4" s="88"/>
      <c r="AK4" s="106"/>
      <c r="AL4" s="91"/>
      <c r="AM4" s="91"/>
      <c r="AN4" s="89"/>
      <c r="AO4" s="89"/>
      <c r="AP4" s="89"/>
      <c r="AQ4" s="89"/>
      <c r="AR4" s="89"/>
    </row>
    <row r="5" spans="2:46" ht="19.5" hidden="1" customHeight="1" outlineLevel="1" x14ac:dyDescent="0.2">
      <c r="C5" s="13"/>
      <c r="D5" s="109"/>
      <c r="E5" s="110"/>
      <c r="F5" s="110">
        <v>1</v>
      </c>
      <c r="G5" s="110">
        <v>2</v>
      </c>
      <c r="H5" s="228">
        <v>3</v>
      </c>
      <c r="I5" s="110">
        <v>4</v>
      </c>
      <c r="J5" s="110">
        <v>5</v>
      </c>
      <c r="K5" s="110">
        <v>6</v>
      </c>
      <c r="L5" s="110">
        <v>7</v>
      </c>
      <c r="M5" s="110">
        <v>8</v>
      </c>
      <c r="N5" s="110">
        <v>9</v>
      </c>
      <c r="O5" s="110">
        <v>10</v>
      </c>
      <c r="P5" s="110">
        <v>11</v>
      </c>
      <c r="Q5" s="110">
        <v>12</v>
      </c>
      <c r="R5" s="110">
        <v>13</v>
      </c>
      <c r="S5" s="110">
        <v>14</v>
      </c>
      <c r="T5" s="110">
        <v>15</v>
      </c>
      <c r="U5" s="110">
        <v>16</v>
      </c>
      <c r="V5" s="110">
        <v>17</v>
      </c>
      <c r="W5" s="110">
        <v>18</v>
      </c>
      <c r="X5" s="110">
        <v>19</v>
      </c>
      <c r="Y5" s="110">
        <v>20</v>
      </c>
      <c r="Z5" s="110">
        <v>21</v>
      </c>
      <c r="AA5" s="110">
        <v>22</v>
      </c>
      <c r="AB5" s="110">
        <v>23</v>
      </c>
      <c r="AC5" s="110">
        <v>24</v>
      </c>
      <c r="AD5" s="110">
        <v>25</v>
      </c>
      <c r="AE5" s="110">
        <v>26</v>
      </c>
      <c r="AF5" s="110">
        <v>27</v>
      </c>
      <c r="AG5" s="110">
        <v>28</v>
      </c>
      <c r="AH5" s="110">
        <v>29</v>
      </c>
      <c r="AI5" s="111">
        <v>30</v>
      </c>
      <c r="AJ5" s="88"/>
      <c r="AK5" s="102"/>
      <c r="AL5" s="91"/>
      <c r="AM5" s="91"/>
      <c r="AN5" s="89"/>
      <c r="AO5" s="89"/>
      <c r="AP5" s="89"/>
      <c r="AQ5" s="89"/>
      <c r="AR5" s="89"/>
    </row>
    <row r="6" spans="2:46" ht="19.5" hidden="1" customHeight="1" outlineLevel="1" x14ac:dyDescent="0.2">
      <c r="C6" s="13"/>
      <c r="D6" s="109"/>
      <c r="E6" s="288">
        <f>WEEKDAY(E$3,2)</f>
        <v>7</v>
      </c>
      <c r="F6" s="288">
        <f t="shared" ref="F6:AF6" si="1">WEEKDAY(F$3,2)</f>
        <v>1</v>
      </c>
      <c r="G6" s="288">
        <f t="shared" si="1"/>
        <v>2</v>
      </c>
      <c r="H6" s="898">
        <f t="shared" si="1"/>
        <v>3</v>
      </c>
      <c r="I6" s="288">
        <f t="shared" si="1"/>
        <v>4</v>
      </c>
      <c r="J6" s="288">
        <f t="shared" si="1"/>
        <v>5</v>
      </c>
      <c r="K6" s="288">
        <f t="shared" si="1"/>
        <v>6</v>
      </c>
      <c r="L6" s="288">
        <f t="shared" si="1"/>
        <v>7</v>
      </c>
      <c r="M6" s="288">
        <f t="shared" si="1"/>
        <v>1</v>
      </c>
      <c r="N6" s="288">
        <f t="shared" si="1"/>
        <v>2</v>
      </c>
      <c r="O6" s="288">
        <f t="shared" si="1"/>
        <v>3</v>
      </c>
      <c r="P6" s="288">
        <f t="shared" si="1"/>
        <v>4</v>
      </c>
      <c r="Q6" s="288">
        <f t="shared" si="1"/>
        <v>5</v>
      </c>
      <c r="R6" s="288">
        <f t="shared" si="1"/>
        <v>6</v>
      </c>
      <c r="S6" s="288">
        <f t="shared" si="1"/>
        <v>7</v>
      </c>
      <c r="T6" s="288">
        <f t="shared" si="1"/>
        <v>1</v>
      </c>
      <c r="U6" s="288">
        <f t="shared" si="1"/>
        <v>2</v>
      </c>
      <c r="V6" s="288">
        <f t="shared" si="1"/>
        <v>3</v>
      </c>
      <c r="W6" s="288">
        <f t="shared" si="1"/>
        <v>4</v>
      </c>
      <c r="X6" s="288">
        <f t="shared" si="1"/>
        <v>5</v>
      </c>
      <c r="Y6" s="288">
        <f t="shared" si="1"/>
        <v>6</v>
      </c>
      <c r="Z6" s="288">
        <f t="shared" si="1"/>
        <v>7</v>
      </c>
      <c r="AA6" s="288">
        <f t="shared" si="1"/>
        <v>1</v>
      </c>
      <c r="AB6" s="288">
        <f t="shared" si="1"/>
        <v>2</v>
      </c>
      <c r="AC6" s="288">
        <f t="shared" si="1"/>
        <v>3</v>
      </c>
      <c r="AD6" s="288">
        <f t="shared" si="1"/>
        <v>4</v>
      </c>
      <c r="AE6" s="288">
        <f t="shared" si="1"/>
        <v>5</v>
      </c>
      <c r="AF6" s="288">
        <f t="shared" si="1"/>
        <v>6</v>
      </c>
      <c r="AG6" s="288">
        <f>IF(AG3&lt;&gt;"",WEEKDAY(AG$3,2),"")</f>
        <v>7</v>
      </c>
      <c r="AH6" s="288"/>
      <c r="AI6" s="899"/>
      <c r="AJ6" s="88"/>
      <c r="AK6" s="102"/>
      <c r="AL6" s="91"/>
      <c r="AM6" s="91"/>
      <c r="AN6" s="89"/>
      <c r="AO6" s="89"/>
      <c r="AP6" s="89"/>
      <c r="AQ6" s="89"/>
      <c r="AR6" s="89"/>
    </row>
    <row r="7" spans="2:46" ht="22.5" customHeight="1" collapsed="1" x14ac:dyDescent="0.2">
      <c r="C7" s="8"/>
      <c r="D7" s="112" t="str">
        <f>Januar!D7</f>
        <v>Beginn</v>
      </c>
      <c r="E7" s="1041"/>
      <c r="F7" s="1041"/>
      <c r="G7" s="1041"/>
      <c r="H7" s="1041"/>
      <c r="I7" s="1041"/>
      <c r="J7" s="1042"/>
      <c r="K7" s="1042"/>
      <c r="L7" s="1041"/>
      <c r="M7" s="1041"/>
      <c r="N7" s="1041"/>
      <c r="O7" s="1041"/>
      <c r="P7" s="1041"/>
      <c r="Q7" s="1042"/>
      <c r="R7" s="1042"/>
      <c r="S7" s="1042"/>
      <c r="T7" s="1042"/>
      <c r="U7" s="1042"/>
      <c r="V7" s="1041"/>
      <c r="W7" s="1041"/>
      <c r="X7" s="1042"/>
      <c r="Y7" s="1042"/>
      <c r="Z7" s="1041"/>
      <c r="AA7" s="1041"/>
      <c r="AB7" s="1041"/>
      <c r="AC7" s="1041"/>
      <c r="AD7" s="1041"/>
      <c r="AE7" s="1042"/>
      <c r="AF7" s="1042"/>
      <c r="AG7" s="1041"/>
      <c r="AH7" s="1041"/>
      <c r="AI7" s="1041"/>
      <c r="AJ7" s="88"/>
      <c r="AK7" s="900"/>
      <c r="AL7" s="91"/>
      <c r="AM7" s="91"/>
      <c r="AN7" s="113"/>
      <c r="AO7" s="89"/>
      <c r="AP7" s="89"/>
      <c r="AQ7" s="89"/>
      <c r="AR7" s="89"/>
    </row>
    <row r="8" spans="2:46" ht="22.5" customHeight="1" x14ac:dyDescent="0.2">
      <c r="C8" s="901"/>
      <c r="D8" s="112" t="str">
        <f>Januar!D8</f>
        <v>Ende</v>
      </c>
      <c r="E8" s="235"/>
      <c r="F8" s="235"/>
      <c r="G8" s="235"/>
      <c r="H8" s="235"/>
      <c r="I8" s="235"/>
      <c r="J8" s="223"/>
      <c r="K8" s="223"/>
      <c r="L8" s="235"/>
      <c r="M8" s="235"/>
      <c r="N8" s="235"/>
      <c r="O8" s="235"/>
      <c r="P8" s="235"/>
      <c r="Q8" s="223"/>
      <c r="R8" s="223"/>
      <c r="S8" s="223"/>
      <c r="T8" s="223"/>
      <c r="U8" s="223"/>
      <c r="V8" s="235"/>
      <c r="W8" s="235"/>
      <c r="X8" s="223"/>
      <c r="Y8" s="223"/>
      <c r="Z8" s="235"/>
      <c r="AA8" s="235"/>
      <c r="AB8" s="235"/>
      <c r="AC8" s="235"/>
      <c r="AD8" s="235"/>
      <c r="AE8" s="223"/>
      <c r="AF8" s="223"/>
      <c r="AG8" s="235"/>
      <c r="AH8" s="235"/>
      <c r="AI8" s="235"/>
      <c r="AJ8" s="88"/>
      <c r="AK8" s="900"/>
      <c r="AL8" s="91"/>
      <c r="AM8" s="91"/>
      <c r="AN8" s="89"/>
      <c r="AO8" s="89"/>
      <c r="AP8" s="89"/>
      <c r="AQ8" s="89"/>
      <c r="AR8" s="89"/>
    </row>
    <row r="9" spans="2:46" ht="22.5" customHeight="1" x14ac:dyDescent="0.2">
      <c r="C9" s="8"/>
      <c r="D9" s="112" t="str">
        <f>Januar!D9</f>
        <v>Beginn</v>
      </c>
      <c r="E9" s="1041"/>
      <c r="F9" s="1041"/>
      <c r="G9" s="1041"/>
      <c r="H9" s="1041"/>
      <c r="I9" s="1041"/>
      <c r="J9" s="1042"/>
      <c r="K9" s="1042"/>
      <c r="L9" s="1041"/>
      <c r="M9" s="1041"/>
      <c r="N9" s="1041"/>
      <c r="O9" s="1041"/>
      <c r="P9" s="1041"/>
      <c r="Q9" s="1042"/>
      <c r="R9" s="1042"/>
      <c r="S9" s="1042"/>
      <c r="T9" s="1042"/>
      <c r="U9" s="1042"/>
      <c r="V9" s="1041"/>
      <c r="W9" s="1041"/>
      <c r="X9" s="1042"/>
      <c r="Y9" s="1042"/>
      <c r="Z9" s="1041"/>
      <c r="AA9" s="1041"/>
      <c r="AB9" s="1041"/>
      <c r="AC9" s="1041"/>
      <c r="AD9" s="1041"/>
      <c r="AE9" s="1042"/>
      <c r="AF9" s="1042"/>
      <c r="AG9" s="1041"/>
      <c r="AH9" s="1041"/>
      <c r="AI9" s="1041"/>
      <c r="AJ9" s="88"/>
      <c r="AK9" s="900"/>
      <c r="AL9" s="91"/>
      <c r="AM9" s="91"/>
      <c r="AN9" s="89"/>
      <c r="AO9" s="89"/>
      <c r="AP9" s="89"/>
      <c r="AQ9" s="89"/>
      <c r="AR9" s="89"/>
    </row>
    <row r="10" spans="2:46" ht="22.5" customHeight="1" x14ac:dyDescent="0.2">
      <c r="C10" s="901"/>
      <c r="D10" s="112" t="str">
        <f>Januar!D10</f>
        <v>Ende</v>
      </c>
      <c r="E10" s="235"/>
      <c r="F10" s="235"/>
      <c r="G10" s="235"/>
      <c r="H10" s="235"/>
      <c r="I10" s="235"/>
      <c r="J10" s="223"/>
      <c r="K10" s="223"/>
      <c r="L10" s="235"/>
      <c r="M10" s="235"/>
      <c r="N10" s="235"/>
      <c r="O10" s="235"/>
      <c r="P10" s="235"/>
      <c r="Q10" s="223"/>
      <c r="R10" s="223"/>
      <c r="S10" s="223"/>
      <c r="T10" s="223"/>
      <c r="U10" s="223"/>
      <c r="V10" s="235"/>
      <c r="W10" s="235"/>
      <c r="X10" s="223"/>
      <c r="Y10" s="223"/>
      <c r="Z10" s="235"/>
      <c r="AA10" s="235"/>
      <c r="AB10" s="235"/>
      <c r="AC10" s="235"/>
      <c r="AD10" s="235"/>
      <c r="AE10" s="223"/>
      <c r="AF10" s="223"/>
      <c r="AG10" s="235"/>
      <c r="AH10" s="235"/>
      <c r="AI10" s="235"/>
      <c r="AJ10" s="88"/>
      <c r="AK10" s="900"/>
      <c r="AL10" s="900"/>
      <c r="AM10" s="114"/>
      <c r="AN10" s="114"/>
      <c r="AO10" s="114"/>
      <c r="AP10" s="89"/>
      <c r="AQ10" s="89"/>
      <c r="AR10" s="89"/>
    </row>
    <row r="11" spans="2:46" ht="22.5" customHeight="1" x14ac:dyDescent="0.2">
      <c r="C11" s="8"/>
      <c r="D11" s="112" t="str">
        <f>Januar!D11</f>
        <v>Beginn</v>
      </c>
      <c r="E11" s="1041"/>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3"/>
      <c r="AJ11" s="88"/>
      <c r="AK11" s="115"/>
      <c r="AL11" s="89"/>
      <c r="AM11" s="89"/>
      <c r="AN11" s="89"/>
      <c r="AO11" s="89"/>
      <c r="AP11" s="89"/>
      <c r="AQ11" s="89"/>
      <c r="AR11" s="89"/>
    </row>
    <row r="12" spans="2:46" ht="22.5" customHeight="1" x14ac:dyDescent="0.2">
      <c r="C12" s="116"/>
      <c r="D12" s="112" t="str">
        <f>Januar!D12</f>
        <v>Ende</v>
      </c>
      <c r="E12" s="235"/>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4"/>
      <c r="AJ12" s="88"/>
      <c r="AK12" s="902"/>
      <c r="AL12" s="91" t="s">
        <v>411</v>
      </c>
      <c r="AM12" s="91"/>
      <c r="AN12" s="113"/>
      <c r="AO12" s="89"/>
      <c r="AP12" s="89"/>
      <c r="AQ12" s="89"/>
      <c r="AR12" s="89"/>
    </row>
    <row r="13" spans="2:46" s="123" customFormat="1" x14ac:dyDescent="0.2">
      <c r="B13" s="117"/>
      <c r="C13" s="118" t="str">
        <f>Januar!C13</f>
        <v>Effektive Arbeitszeit</v>
      </c>
      <c r="D13" s="119"/>
      <c r="E13" s="1044">
        <f t="shared" ref="E13:AI13" si="2">IF(COUNT(E7:E12)&gt;0,E12-E11+E10-E9+E8-E7,E39)</f>
        <v>0</v>
      </c>
      <c r="F13" s="1045">
        <f t="shared" si="2"/>
        <v>0</v>
      </c>
      <c r="G13" s="1045">
        <f t="shared" si="2"/>
        <v>0</v>
      </c>
      <c r="H13" s="1045">
        <f t="shared" si="2"/>
        <v>0</v>
      </c>
      <c r="I13" s="1045">
        <f t="shared" si="2"/>
        <v>0</v>
      </c>
      <c r="J13" s="1045">
        <f t="shared" si="2"/>
        <v>0</v>
      </c>
      <c r="K13" s="1045">
        <f t="shared" si="2"/>
        <v>0</v>
      </c>
      <c r="L13" s="1045">
        <f t="shared" si="2"/>
        <v>0</v>
      </c>
      <c r="M13" s="1045">
        <f t="shared" si="2"/>
        <v>0</v>
      </c>
      <c r="N13" s="1045">
        <f t="shared" si="2"/>
        <v>0</v>
      </c>
      <c r="O13" s="1045">
        <f t="shared" si="2"/>
        <v>0</v>
      </c>
      <c r="P13" s="1045">
        <f t="shared" si="2"/>
        <v>0</v>
      </c>
      <c r="Q13" s="1045">
        <f t="shared" si="2"/>
        <v>0</v>
      </c>
      <c r="R13" s="1045">
        <f t="shared" si="2"/>
        <v>0</v>
      </c>
      <c r="S13" s="1045">
        <f t="shared" si="2"/>
        <v>0</v>
      </c>
      <c r="T13" s="1045">
        <f t="shared" si="2"/>
        <v>0</v>
      </c>
      <c r="U13" s="1045">
        <f t="shared" si="2"/>
        <v>0</v>
      </c>
      <c r="V13" s="1045">
        <f t="shared" si="2"/>
        <v>0</v>
      </c>
      <c r="W13" s="1045">
        <f t="shared" si="2"/>
        <v>0</v>
      </c>
      <c r="X13" s="1045">
        <f t="shared" si="2"/>
        <v>0</v>
      </c>
      <c r="Y13" s="1045">
        <f t="shared" si="2"/>
        <v>0</v>
      </c>
      <c r="Z13" s="1045">
        <f t="shared" si="2"/>
        <v>0</v>
      </c>
      <c r="AA13" s="1045">
        <f t="shared" si="2"/>
        <v>0</v>
      </c>
      <c r="AB13" s="1045">
        <f t="shared" si="2"/>
        <v>0</v>
      </c>
      <c r="AC13" s="1045">
        <f t="shared" si="2"/>
        <v>0</v>
      </c>
      <c r="AD13" s="1045">
        <f t="shared" si="2"/>
        <v>0</v>
      </c>
      <c r="AE13" s="1045">
        <f t="shared" si="2"/>
        <v>0</v>
      </c>
      <c r="AF13" s="1045">
        <f t="shared" si="2"/>
        <v>0</v>
      </c>
      <c r="AG13" s="1045">
        <f t="shared" si="2"/>
        <v>0</v>
      </c>
      <c r="AH13" s="1045">
        <f t="shared" si="2"/>
        <v>0</v>
      </c>
      <c r="AI13" s="1046">
        <f t="shared" si="2"/>
        <v>0</v>
      </c>
      <c r="AJ13" s="1047">
        <f t="shared" ref="AJ13:AJ18" si="3">SUM(E13:AI13)</f>
        <v>0</v>
      </c>
      <c r="AK13" s="120"/>
      <c r="AL13" s="121" t="s">
        <v>413</v>
      </c>
      <c r="AM13" s="121"/>
      <c r="AN13" s="122"/>
      <c r="AS13" s="124"/>
    </row>
    <row r="14" spans="2:46" s="129" customFormat="1" x14ac:dyDescent="0.2">
      <c r="B14" s="117"/>
      <c r="C14" s="118" t="str">
        <f>Januar!C14</f>
        <v>inkl. Basiszeit / Feiertage</v>
      </c>
      <c r="D14" s="125"/>
      <c r="E14" s="126">
        <f t="shared" ref="E14:AI14" si="4">ROUND(SUM(E13,E15,E21,E22,E24:E38),8)</f>
        <v>0</v>
      </c>
      <c r="F14" s="127">
        <f t="shared" si="4"/>
        <v>0</v>
      </c>
      <c r="G14" s="127">
        <f t="shared" si="4"/>
        <v>0</v>
      </c>
      <c r="H14" s="127">
        <f t="shared" si="4"/>
        <v>0</v>
      </c>
      <c r="I14" s="127">
        <f t="shared" si="4"/>
        <v>0</v>
      </c>
      <c r="J14" s="127">
        <f t="shared" si="4"/>
        <v>0</v>
      </c>
      <c r="K14" s="127">
        <f t="shared" si="4"/>
        <v>0</v>
      </c>
      <c r="L14" s="127">
        <f t="shared" si="4"/>
        <v>0</v>
      </c>
      <c r="M14" s="127">
        <f t="shared" si="4"/>
        <v>0</v>
      </c>
      <c r="N14" s="127">
        <f t="shared" si="4"/>
        <v>0</v>
      </c>
      <c r="O14" s="127">
        <f t="shared" si="4"/>
        <v>0</v>
      </c>
      <c r="P14" s="127">
        <f t="shared" si="4"/>
        <v>0</v>
      </c>
      <c r="Q14" s="127">
        <f t="shared" si="4"/>
        <v>0</v>
      </c>
      <c r="R14" s="127">
        <f t="shared" si="4"/>
        <v>0</v>
      </c>
      <c r="S14" s="127">
        <f t="shared" si="4"/>
        <v>0</v>
      </c>
      <c r="T14" s="127">
        <f t="shared" si="4"/>
        <v>0</v>
      </c>
      <c r="U14" s="127">
        <f t="shared" si="4"/>
        <v>0</v>
      </c>
      <c r="V14" s="127">
        <f t="shared" si="4"/>
        <v>0</v>
      </c>
      <c r="W14" s="127">
        <f t="shared" si="4"/>
        <v>0</v>
      </c>
      <c r="X14" s="127">
        <f t="shared" si="4"/>
        <v>0</v>
      </c>
      <c r="Y14" s="127">
        <f t="shared" si="4"/>
        <v>0</v>
      </c>
      <c r="Z14" s="127">
        <f t="shared" si="4"/>
        <v>0</v>
      </c>
      <c r="AA14" s="127">
        <f t="shared" si="4"/>
        <v>0</v>
      </c>
      <c r="AB14" s="127">
        <f t="shared" si="4"/>
        <v>0</v>
      </c>
      <c r="AC14" s="127">
        <f t="shared" si="4"/>
        <v>0</v>
      </c>
      <c r="AD14" s="127">
        <f t="shared" si="4"/>
        <v>0</v>
      </c>
      <c r="AE14" s="127">
        <f t="shared" si="4"/>
        <v>0</v>
      </c>
      <c r="AF14" s="127">
        <f t="shared" si="4"/>
        <v>0</v>
      </c>
      <c r="AG14" s="127">
        <f t="shared" si="4"/>
        <v>0</v>
      </c>
      <c r="AH14" s="127">
        <f t="shared" si="4"/>
        <v>0</v>
      </c>
      <c r="AI14" s="127">
        <f t="shared" si="4"/>
        <v>0</v>
      </c>
      <c r="AJ14" s="128">
        <f t="shared" si="3"/>
        <v>0</v>
      </c>
      <c r="AK14" s="1048">
        <f>AJ14-AJ16-IF(Eingabeblatt!D7="NEIN",AJ85,AJ85/1.25)</f>
        <v>-7.6999999999999966</v>
      </c>
      <c r="AL14" s="117" t="s">
        <v>415</v>
      </c>
      <c r="AM14" s="121"/>
      <c r="AN14" s="122"/>
      <c r="AT14" s="123"/>
    </row>
    <row r="15" spans="2:46" s="129" customFormat="1" x14ac:dyDescent="0.2">
      <c r="B15" s="117">
        <f>ctFeierFreitage!K28</f>
        <v>3.3166666666666669</v>
      </c>
      <c r="C15" s="118" t="str">
        <f>Januar!C15</f>
        <v>Feiertagsanspruch</v>
      </c>
      <c r="D15" s="125"/>
      <c r="E15" s="126">
        <f t="shared" ref="E15:AI15" si="5">IF(ISERROR(VLOOKUP(DATE($D$2,MONTH($C$2),E$4),Feiertagsanspruch,9,FALSE)),0,VLOOKUP(DATE($D$2,MONTH($C$2),E$4),Feiertagsanspruch,9,FALSE))</f>
        <v>0</v>
      </c>
      <c r="F15" s="127">
        <f t="shared" si="5"/>
        <v>0</v>
      </c>
      <c r="G15" s="127">
        <f t="shared" si="5"/>
        <v>0</v>
      </c>
      <c r="H15" s="127">
        <f t="shared" si="5"/>
        <v>0</v>
      </c>
      <c r="I15" s="127">
        <f t="shared" si="5"/>
        <v>0</v>
      </c>
      <c r="J15" s="127">
        <f t="shared" si="5"/>
        <v>0</v>
      </c>
      <c r="K15" s="127">
        <f t="shared" si="5"/>
        <v>0</v>
      </c>
      <c r="L15" s="127">
        <f t="shared" si="5"/>
        <v>0</v>
      </c>
      <c r="M15" s="127">
        <f t="shared" si="5"/>
        <v>0</v>
      </c>
      <c r="N15" s="127">
        <f t="shared" si="5"/>
        <v>0</v>
      </c>
      <c r="O15" s="127">
        <f t="shared" si="5"/>
        <v>0</v>
      </c>
      <c r="P15" s="127">
        <f t="shared" si="5"/>
        <v>0</v>
      </c>
      <c r="Q15" s="127">
        <f t="shared" si="5"/>
        <v>0</v>
      </c>
      <c r="R15" s="127">
        <f t="shared" si="5"/>
        <v>0</v>
      </c>
      <c r="S15" s="127">
        <f t="shared" si="5"/>
        <v>0</v>
      </c>
      <c r="T15" s="127">
        <f t="shared" si="5"/>
        <v>0</v>
      </c>
      <c r="U15" s="127">
        <f t="shared" si="5"/>
        <v>0</v>
      </c>
      <c r="V15" s="127">
        <f t="shared" si="5"/>
        <v>0</v>
      </c>
      <c r="W15" s="127">
        <f t="shared" si="5"/>
        <v>0</v>
      </c>
      <c r="X15" s="127">
        <f t="shared" si="5"/>
        <v>0</v>
      </c>
      <c r="Y15" s="127">
        <f t="shared" si="5"/>
        <v>0</v>
      </c>
      <c r="Z15" s="127">
        <f t="shared" si="5"/>
        <v>0</v>
      </c>
      <c r="AA15" s="127">
        <f t="shared" si="5"/>
        <v>0</v>
      </c>
      <c r="AB15" s="127">
        <f t="shared" si="5"/>
        <v>0</v>
      </c>
      <c r="AC15" s="127">
        <f t="shared" si="5"/>
        <v>0</v>
      </c>
      <c r="AD15" s="127">
        <f t="shared" si="5"/>
        <v>0</v>
      </c>
      <c r="AE15" s="127">
        <f t="shared" si="5"/>
        <v>0</v>
      </c>
      <c r="AF15" s="127">
        <f t="shared" si="5"/>
        <v>0</v>
      </c>
      <c r="AG15" s="127">
        <f t="shared" si="5"/>
        <v>0</v>
      </c>
      <c r="AH15" s="127">
        <f t="shared" si="5"/>
        <v>0</v>
      </c>
      <c r="AI15" s="127">
        <f t="shared" si="5"/>
        <v>0</v>
      </c>
      <c r="AJ15" s="128">
        <f>SUM(E15:AI15)</f>
        <v>0</v>
      </c>
      <c r="AK15" s="1048"/>
      <c r="AL15" s="117"/>
      <c r="AM15" s="121"/>
      <c r="AN15" s="122"/>
      <c r="AT15" s="123"/>
    </row>
    <row r="16" spans="2:46" s="123" customFormat="1" hidden="1" outlineLevel="1" x14ac:dyDescent="0.2">
      <c r="B16" s="117"/>
      <c r="C16" s="118" t="str">
        <f>Januar!C16</f>
        <v>SOLL-Arbeitszeit</v>
      </c>
      <c r="D16" s="119"/>
      <c r="E16" s="126">
        <f t="shared" ref="E16:AI16" si="6">IF(ROUND(E17-E15,8)&lt;0,0,ROUND(E17-E15,8))</f>
        <v>0</v>
      </c>
      <c r="F16" s="127">
        <f t="shared" si="6"/>
        <v>0.35</v>
      </c>
      <c r="G16" s="127">
        <f t="shared" si="6"/>
        <v>0.35</v>
      </c>
      <c r="H16" s="127">
        <f t="shared" si="6"/>
        <v>0.35</v>
      </c>
      <c r="I16" s="127">
        <f t="shared" si="6"/>
        <v>0.35</v>
      </c>
      <c r="J16" s="127">
        <f t="shared" si="6"/>
        <v>0.35</v>
      </c>
      <c r="K16" s="127">
        <f t="shared" si="6"/>
        <v>0</v>
      </c>
      <c r="L16" s="127">
        <f t="shared" si="6"/>
        <v>0</v>
      </c>
      <c r="M16" s="127">
        <f t="shared" si="6"/>
        <v>0.35</v>
      </c>
      <c r="N16" s="127">
        <f t="shared" si="6"/>
        <v>0.35</v>
      </c>
      <c r="O16" s="127">
        <f t="shared" si="6"/>
        <v>0.35</v>
      </c>
      <c r="P16" s="127">
        <f t="shared" si="6"/>
        <v>0.35</v>
      </c>
      <c r="Q16" s="127">
        <f t="shared" si="6"/>
        <v>0.35</v>
      </c>
      <c r="R16" s="127">
        <f t="shared" si="6"/>
        <v>0</v>
      </c>
      <c r="S16" s="127">
        <f t="shared" si="6"/>
        <v>0</v>
      </c>
      <c r="T16" s="127">
        <f t="shared" si="6"/>
        <v>0.35</v>
      </c>
      <c r="U16" s="127">
        <f t="shared" si="6"/>
        <v>0.35</v>
      </c>
      <c r="V16" s="127">
        <f t="shared" si="6"/>
        <v>0.35</v>
      </c>
      <c r="W16" s="127">
        <f t="shared" si="6"/>
        <v>0.35</v>
      </c>
      <c r="X16" s="127">
        <f t="shared" si="6"/>
        <v>0.35</v>
      </c>
      <c r="Y16" s="127">
        <f t="shared" si="6"/>
        <v>0</v>
      </c>
      <c r="Z16" s="127">
        <f t="shared" si="6"/>
        <v>0</v>
      </c>
      <c r="AA16" s="127">
        <f t="shared" si="6"/>
        <v>0.35</v>
      </c>
      <c r="AB16" s="127">
        <f t="shared" si="6"/>
        <v>0.35</v>
      </c>
      <c r="AC16" s="127">
        <f t="shared" si="6"/>
        <v>0.35</v>
      </c>
      <c r="AD16" s="127">
        <f t="shared" si="6"/>
        <v>0.35</v>
      </c>
      <c r="AE16" s="127">
        <f t="shared" si="6"/>
        <v>0.35</v>
      </c>
      <c r="AF16" s="127">
        <f t="shared" si="6"/>
        <v>0</v>
      </c>
      <c r="AG16" s="127">
        <f t="shared" si="6"/>
        <v>0</v>
      </c>
      <c r="AH16" s="127">
        <f t="shared" si="6"/>
        <v>0.35</v>
      </c>
      <c r="AI16" s="127">
        <f t="shared" si="6"/>
        <v>0.35</v>
      </c>
      <c r="AJ16" s="128">
        <f t="shared" si="3"/>
        <v>7.6999999999999966</v>
      </c>
      <c r="AK16" s="130"/>
      <c r="AL16" s="121" t="s">
        <v>416</v>
      </c>
      <c r="AM16" s="121"/>
      <c r="AN16" s="122"/>
      <c r="AT16" s="129"/>
    </row>
    <row r="17" spans="1:46" s="123" customFormat="1" collapsed="1" x14ac:dyDescent="0.2">
      <c r="B17" s="117"/>
      <c r="C17" s="118" t="str">
        <f>Januar!C17</f>
        <v>Regelarbeitszeit</v>
      </c>
      <c r="D17" s="119"/>
      <c r="E17" s="126">
        <f>IF(ISERROR(IF(E4&lt;&gt;0,VLOOKUP(DATE($D$2,MONTH($C$2),E$4),Raz,WEEKDAY(DATE($D$2,MONTH($C$2),E$4))+2),0)),0,IF(E4&lt;&gt;0,VLOOKUP(DATE($D$2,MONTH($C$2),E$4),Raz,WEEKDAY(DATE($D$2,MONTH($C$2),E$4))+2),0))</f>
        <v>0</v>
      </c>
      <c r="F17" s="127">
        <f t="shared" ref="F17:AI17" si="7">IF(ISERROR(IF(F4&lt;&gt;0,VLOOKUP(DATE($D$2,MONTH($C$2),F$4),Raz,WEEKDAY(DATE($D$2,MONTH($C$2),F$4))+2),0)),0,IF(F4&lt;&gt;0,VLOOKUP(DATE($D$2,MONTH($C$2),F$4),Raz,WEEKDAY(DATE($D$2,MONTH($C$2),F$4))+2),0))</f>
        <v>0.35000000000000003</v>
      </c>
      <c r="G17" s="127">
        <f t="shared" si="7"/>
        <v>0.35000000000000003</v>
      </c>
      <c r="H17" s="127">
        <f t="shared" si="7"/>
        <v>0.35000000000000003</v>
      </c>
      <c r="I17" s="127">
        <f t="shared" si="7"/>
        <v>0.35</v>
      </c>
      <c r="J17" s="127">
        <f t="shared" si="7"/>
        <v>0.35000000000000003</v>
      </c>
      <c r="K17" s="127">
        <f t="shared" si="7"/>
        <v>0</v>
      </c>
      <c r="L17" s="127">
        <f t="shared" si="7"/>
        <v>0</v>
      </c>
      <c r="M17" s="127">
        <f t="shared" si="7"/>
        <v>0.35000000000000003</v>
      </c>
      <c r="N17" s="127">
        <f t="shared" si="7"/>
        <v>0.35000000000000003</v>
      </c>
      <c r="O17" s="127">
        <f t="shared" si="7"/>
        <v>0.35000000000000003</v>
      </c>
      <c r="P17" s="127">
        <f t="shared" si="7"/>
        <v>0.35</v>
      </c>
      <c r="Q17" s="127">
        <f t="shared" si="7"/>
        <v>0.35000000000000003</v>
      </c>
      <c r="R17" s="127">
        <f t="shared" si="7"/>
        <v>0</v>
      </c>
      <c r="S17" s="127">
        <f t="shared" si="7"/>
        <v>0</v>
      </c>
      <c r="T17" s="127">
        <f t="shared" si="7"/>
        <v>0.35000000000000003</v>
      </c>
      <c r="U17" s="127">
        <f t="shared" si="7"/>
        <v>0.35000000000000003</v>
      </c>
      <c r="V17" s="127">
        <f t="shared" si="7"/>
        <v>0.35000000000000003</v>
      </c>
      <c r="W17" s="127">
        <f t="shared" si="7"/>
        <v>0.35</v>
      </c>
      <c r="X17" s="127">
        <f t="shared" si="7"/>
        <v>0.35000000000000003</v>
      </c>
      <c r="Y17" s="127">
        <f t="shared" si="7"/>
        <v>0</v>
      </c>
      <c r="Z17" s="127">
        <f t="shared" si="7"/>
        <v>0</v>
      </c>
      <c r="AA17" s="127">
        <f t="shared" si="7"/>
        <v>0.35000000000000003</v>
      </c>
      <c r="AB17" s="127">
        <f t="shared" si="7"/>
        <v>0.35000000000000003</v>
      </c>
      <c r="AC17" s="127">
        <f t="shared" si="7"/>
        <v>0.35000000000000003</v>
      </c>
      <c r="AD17" s="127">
        <f t="shared" si="7"/>
        <v>0.35</v>
      </c>
      <c r="AE17" s="127">
        <f t="shared" si="7"/>
        <v>0.35000000000000003</v>
      </c>
      <c r="AF17" s="127">
        <f t="shared" si="7"/>
        <v>0</v>
      </c>
      <c r="AG17" s="127">
        <f t="shared" si="7"/>
        <v>0</v>
      </c>
      <c r="AH17" s="127">
        <f t="shared" si="7"/>
        <v>0.35000000000000003</v>
      </c>
      <c r="AI17" s="127">
        <f t="shared" si="7"/>
        <v>0.35000000000000003</v>
      </c>
      <c r="AJ17" s="128">
        <f t="shared" si="3"/>
        <v>7.6999999999999966</v>
      </c>
      <c r="AK17" s="131"/>
      <c r="AL17" s="121"/>
      <c r="AM17" s="121"/>
      <c r="AN17" s="122"/>
    </row>
    <row r="18" spans="1:46" s="123" customFormat="1" x14ac:dyDescent="0.2">
      <c r="B18" s="117"/>
      <c r="C18" s="132" t="str">
        <f>Januar!C18</f>
        <v>Mehr-/Minderleistung</v>
      </c>
      <c r="D18" s="133"/>
      <c r="E18" s="134">
        <f t="shared" ref="E18:AI18" si="8">ROUND(E14-E17,8)</f>
        <v>0</v>
      </c>
      <c r="F18" s="135">
        <f t="shared" si="8"/>
        <v>-0.35</v>
      </c>
      <c r="G18" s="135">
        <f t="shared" si="8"/>
        <v>-0.35</v>
      </c>
      <c r="H18" s="135">
        <f t="shared" si="8"/>
        <v>-0.35</v>
      </c>
      <c r="I18" s="135">
        <f t="shared" si="8"/>
        <v>-0.35</v>
      </c>
      <c r="J18" s="135">
        <f t="shared" si="8"/>
        <v>-0.35</v>
      </c>
      <c r="K18" s="135">
        <f t="shared" si="8"/>
        <v>0</v>
      </c>
      <c r="L18" s="135">
        <f t="shared" si="8"/>
        <v>0</v>
      </c>
      <c r="M18" s="135">
        <f t="shared" si="8"/>
        <v>-0.35</v>
      </c>
      <c r="N18" s="135">
        <f t="shared" si="8"/>
        <v>-0.35</v>
      </c>
      <c r="O18" s="135">
        <f t="shared" si="8"/>
        <v>-0.35</v>
      </c>
      <c r="P18" s="135">
        <f t="shared" si="8"/>
        <v>-0.35</v>
      </c>
      <c r="Q18" s="135">
        <f t="shared" si="8"/>
        <v>-0.35</v>
      </c>
      <c r="R18" s="135">
        <f t="shared" si="8"/>
        <v>0</v>
      </c>
      <c r="S18" s="135">
        <f t="shared" si="8"/>
        <v>0</v>
      </c>
      <c r="T18" s="135">
        <f t="shared" si="8"/>
        <v>-0.35</v>
      </c>
      <c r="U18" s="135">
        <f t="shared" si="8"/>
        <v>-0.35</v>
      </c>
      <c r="V18" s="135">
        <f t="shared" si="8"/>
        <v>-0.35</v>
      </c>
      <c r="W18" s="135">
        <f t="shared" si="8"/>
        <v>-0.35</v>
      </c>
      <c r="X18" s="135">
        <f t="shared" si="8"/>
        <v>-0.35</v>
      </c>
      <c r="Y18" s="135">
        <f t="shared" si="8"/>
        <v>0</v>
      </c>
      <c r="Z18" s="135">
        <f t="shared" si="8"/>
        <v>0</v>
      </c>
      <c r="AA18" s="135">
        <f t="shared" si="8"/>
        <v>-0.35</v>
      </c>
      <c r="AB18" s="135">
        <f t="shared" si="8"/>
        <v>-0.35</v>
      </c>
      <c r="AC18" s="135">
        <f t="shared" si="8"/>
        <v>-0.35</v>
      </c>
      <c r="AD18" s="135">
        <f t="shared" si="8"/>
        <v>-0.35</v>
      </c>
      <c r="AE18" s="135">
        <f t="shared" si="8"/>
        <v>-0.35</v>
      </c>
      <c r="AF18" s="135">
        <f t="shared" si="8"/>
        <v>0</v>
      </c>
      <c r="AG18" s="135">
        <f t="shared" si="8"/>
        <v>0</v>
      </c>
      <c r="AH18" s="135">
        <f t="shared" si="8"/>
        <v>-0.35</v>
      </c>
      <c r="AI18" s="135">
        <f t="shared" si="8"/>
        <v>-0.35</v>
      </c>
      <c r="AJ18" s="136">
        <f t="shared" si="3"/>
        <v>-7.6999999999999966</v>
      </c>
      <c r="AK18" s="137" t="s">
        <v>418</v>
      </c>
      <c r="AL18" s="121" t="s">
        <v>419</v>
      </c>
      <c r="AM18" s="121"/>
      <c r="AN18" s="122"/>
      <c r="AO18" s="122"/>
    </row>
    <row r="19" spans="1:46" s="138" customFormat="1" ht="24" x14ac:dyDescent="0.2">
      <c r="A19" s="781"/>
      <c r="B19" s="139" t="s">
        <v>420</v>
      </c>
      <c r="C19" s="1049" t="str">
        <f>Januar!C19</f>
        <v>Arbeitszeit-Saldo</v>
      </c>
      <c r="D19" s="903">
        <f ca="1">Februar!AJ19</f>
        <v>0</v>
      </c>
      <c r="E19" s="1050">
        <f ca="1">IF(E4&lt;&gt;"",IF(DATE($D$2,MONTH($C$2),E$4)&lt;=Eingabeblatt!$I$8,IF(OR(AND(E$86="JA",E14&gt;E16),AND(E86="JA",Eingabeblatt!$I$10="NEIN")),D19,D19+E18),IF(D19=0,0,IF(OR(COUNT(E7:E12,E22:E38)&gt;0,AND(COUNT(E7:E12,E22:E38)=0,E16=0)),IF(OR(AND(E$86="JA",E14&gt;E16),AND(E86="JA",Eingabeblatt!$I$10="NEIN")),D19,D19+E18),0))),D19)</f>
        <v>0</v>
      </c>
      <c r="F19" s="1051">
        <f ca="1">IF(F4&lt;&gt;"",IF(DATE($D$2,MONTH($C$2),F$4)&lt;=Eingabeblatt!$I$8,IF(OR(AND(F$86="JA",F14&gt;F16),AND(F86="JA",Eingabeblatt!$I$10="NEIN")),E19,E19+F18),IF(E19=0,0,IF(OR(COUNT(F7:F12,F22:F38)&gt;0,AND(COUNT(F7:F12,F22:F38)=0,F16=0)),IF(OR(AND(F$86="JA",F14&gt;F16),AND(F86="JA",Eingabeblatt!$I$10="NEIN")),E19,E19+F18),0))),E19)</f>
        <v>0</v>
      </c>
      <c r="G19" s="1051">
        <f ca="1">IF(G4&lt;&gt;"",IF(DATE($D$2,MONTH($C$2),G$4)&lt;=Eingabeblatt!$I$8,IF(OR(AND(G$86="JA",G14&gt;G16),AND(G86="JA",Eingabeblatt!$I$10="NEIN")),F19,F19+G18),IF(F19=0,0,IF(OR(COUNT(G7:G12,G22:G38)&gt;0,AND(COUNT(G7:G12,G22:G38)=0,G16=0)),IF(OR(AND(G$86="JA",G14&gt;G16),AND(G86="JA",Eingabeblatt!$I$10="NEIN")),F19,F19+G18),0))),F19)</f>
        <v>0</v>
      </c>
      <c r="H19" s="1051">
        <f ca="1">IF(H4&lt;&gt;"",IF(DATE($D$2,MONTH($C$2),H$4)&lt;=Eingabeblatt!$I$8,IF(OR(AND(H$86="JA",H14&gt;H16),AND(H86="JA",Eingabeblatt!$I$10="NEIN")),G19,G19+H18),IF(G19=0,0,IF(OR(COUNT(H7:H12,H22:H38)&gt;0,AND(COUNT(H7:H12,H22:H38)=0,H16=0)),IF(OR(AND(H$86="JA",H14&gt;H16),AND(H86="JA",Eingabeblatt!$I$10="NEIN")),G19,G19+H18),0))),G19)</f>
        <v>0</v>
      </c>
      <c r="I19" s="1051">
        <f ca="1">IF(I4&lt;&gt;"",IF(DATE($D$2,MONTH($C$2),I$4)&lt;=Eingabeblatt!$I$8,IF(OR(AND(I$86="JA",I14&gt;I16),AND(I86="JA",Eingabeblatt!$I$10="NEIN")),H19,H19+I18),IF(H19=0,0,IF(OR(COUNT(I7:I12,I22:I38)&gt;0,AND(COUNT(I7:I12,I22:I38)=0,I16=0)),IF(OR(AND(I$86="JA",I14&gt;I16),AND(I86="JA",Eingabeblatt!$I$10="NEIN")),H19,H19+I18),0))),H19)</f>
        <v>0</v>
      </c>
      <c r="J19" s="1051">
        <f ca="1">IF(J4&lt;&gt;"",IF(DATE($D$2,MONTH($C$2),J$4)&lt;=Eingabeblatt!$I$8,IF(OR(AND(J$86="JA",J14&gt;J16),AND(J86="JA",Eingabeblatt!$I$10="NEIN")),I19,I19+J18),IF(I19=0,0,IF(OR(COUNT(J7:J12,J22:J38)&gt;0,AND(COUNT(J7:J12,J22:J38)=0,J16=0)),IF(OR(AND(J$86="JA",J14&gt;J16),AND(J86="JA",Eingabeblatt!$I$10="NEIN")),I19,I19+J18),0))),I19)</f>
        <v>0</v>
      </c>
      <c r="K19" s="1051">
        <f ca="1">IF(K4&lt;&gt;"",IF(DATE($D$2,MONTH($C$2),K$4)&lt;=Eingabeblatt!$I$8,IF(OR(AND(K$86="JA",K14&gt;K16),AND(K86="JA",Eingabeblatt!$I$10="NEIN")),J19,J19+K18),IF(J19=0,0,IF(OR(COUNT(K7:K12,K22:K38)&gt;0,AND(COUNT(K7:K12,K22:K38)=0,K16=0)),IF(OR(AND(K$86="JA",K14&gt;K16),AND(K86="JA",Eingabeblatt!$I$10="NEIN")),J19,J19+K18),0))),J19)</f>
        <v>0</v>
      </c>
      <c r="L19" s="1051">
        <f ca="1">IF(L4&lt;&gt;"",IF(DATE($D$2,MONTH($C$2),L$4)&lt;=Eingabeblatt!$I$8,IF(OR(AND(L$86="JA",L14&gt;L16),AND(L86="JA",Eingabeblatt!$I$10="NEIN")),K19,K19+L18),IF(K19=0,0,IF(OR(COUNT(L7:L12,L22:L38)&gt;0,AND(COUNT(L7:L12,L22:L38)=0,L16=0)),IF(OR(AND(L$86="JA",L14&gt;L16),AND(L86="JA",Eingabeblatt!$I$10="NEIN")),K19,K19+L18),0))),K19)</f>
        <v>0</v>
      </c>
      <c r="M19" s="1051">
        <f ca="1">IF(M4&lt;&gt;"",IF(DATE($D$2,MONTH($C$2),M$4)&lt;=Eingabeblatt!$I$8,IF(OR(AND(M$86="JA",M14&gt;M16),AND(M86="JA",Eingabeblatt!$I$10="NEIN")),L19,L19+M18),IF(L19=0,0,IF(OR(COUNT(M7:M12,M22:M38)&gt;0,AND(COUNT(M7:M12,M22:M38)=0,M16=0)),IF(OR(AND(M$86="JA",M14&gt;M16),AND(M86="JA",Eingabeblatt!$I$10="NEIN")),L19,L19+M18),0))),L19)</f>
        <v>0</v>
      </c>
      <c r="N19" s="1051">
        <f ca="1">IF(N4&lt;&gt;"",IF(DATE($D$2,MONTH($C$2),N$4)&lt;=Eingabeblatt!$I$8,IF(OR(AND(N$86="JA",N14&gt;N16),AND(N86="JA",Eingabeblatt!$I$10="NEIN")),M19,M19+N18),IF(M19=0,0,IF(OR(COUNT(N7:N12,N22:N38)&gt;0,AND(COUNT(N7:N12,N22:N38)=0,N16=0)),IF(OR(AND(N$86="JA",N14&gt;N16),AND(N86="JA",Eingabeblatt!$I$10="NEIN")),M19,M19+N18),0))),M19)</f>
        <v>0</v>
      </c>
      <c r="O19" s="1051">
        <f ca="1">IF(O4&lt;&gt;"",IF(DATE($D$2,MONTH($C$2),O$4)&lt;=Eingabeblatt!$I$8,IF(OR(AND(O$86="JA",O14&gt;O16),AND(O86="JA",Eingabeblatt!$I$10="NEIN")),N19,N19+O18),IF(N19=0,0,IF(OR(COUNT(O7:O12,O22:O38)&gt;0,AND(COUNT(O7:O12,O22:O38)=0,O16=0)),IF(OR(AND(O$86="JA",O14&gt;O16),AND(O86="JA",Eingabeblatt!$I$10="NEIN")),N19,N19+O18),0))),N19)</f>
        <v>0</v>
      </c>
      <c r="P19" s="1051">
        <f ca="1">IF(P4&lt;&gt;"",IF(DATE($D$2,MONTH($C$2),P$4)&lt;=Eingabeblatt!$I$8,IF(OR(AND(P$86="JA",P14&gt;P16),AND(P86="JA",Eingabeblatt!$I$10="NEIN")),O19,O19+P18),IF(O19=0,0,IF(OR(COUNT(P7:P12,P22:P38)&gt;0,AND(COUNT(P7:P12,P22:P38)=0,P16=0)),IF(OR(AND(P$86="JA",P14&gt;P16),AND(P86="JA",Eingabeblatt!$I$10="NEIN")),O19,O19+P18),0))),O19)</f>
        <v>0</v>
      </c>
      <c r="Q19" s="1051">
        <f ca="1">IF(Q4&lt;&gt;"",IF(DATE($D$2,MONTH($C$2),Q$4)&lt;=Eingabeblatt!$I$8,IF(OR(AND(Q$86="JA",Q14&gt;Q16),AND(Q86="JA",Eingabeblatt!$I$10="NEIN")),P19,P19+Q18),IF(P19=0,0,IF(OR(COUNT(Q7:Q12,Q22:Q38)&gt;0,AND(COUNT(Q7:Q12,Q22:Q38)=0,Q16=0)),IF(OR(AND(Q$86="JA",Q14&gt;Q16),AND(Q86="JA",Eingabeblatt!$I$10="NEIN")),P19,P19+Q18),0))),P19)</f>
        <v>0</v>
      </c>
      <c r="R19" s="1051">
        <f ca="1">IF(R4&lt;&gt;"",IF(DATE($D$2,MONTH($C$2),R$4)&lt;=Eingabeblatt!$I$8,IF(OR(AND(R$86="JA",R14&gt;R16),AND(R86="JA",Eingabeblatt!$I$10="NEIN")),Q19,Q19+R18),IF(Q19=0,0,IF(OR(COUNT(R7:R12,R22:R38)&gt;0,AND(COUNT(R7:R12,R22:R38)=0,R16=0)),IF(OR(AND(R$86="JA",R14&gt;R16),AND(R86="JA",Eingabeblatt!$I$10="NEIN")),Q19,Q19+R18),0))),Q19)</f>
        <v>0</v>
      </c>
      <c r="S19" s="1051">
        <f ca="1">IF(S4&lt;&gt;"",IF(DATE($D$2,MONTH($C$2),S$4)&lt;=Eingabeblatt!$I$8,IF(OR(AND(S$86="JA",S14&gt;S16),AND(S86="JA",Eingabeblatt!$I$10="NEIN")),R19,R19+S18),IF(R19=0,0,IF(OR(COUNT(S7:S12,S22:S38)&gt;0,AND(COUNT(S7:S12,S22:S38)=0,S16=0)),IF(OR(AND(S$86="JA",S14&gt;S16),AND(S86="JA",Eingabeblatt!$I$10="NEIN")),R19,R19+S18),0))),R19)</f>
        <v>0</v>
      </c>
      <c r="T19" s="1051">
        <f ca="1">IF(T4&lt;&gt;"",IF(DATE($D$2,MONTH($C$2),T$4)&lt;=Eingabeblatt!$I$8,IF(OR(AND(T$86="JA",T14&gt;T16),AND(T86="JA",Eingabeblatt!$I$10="NEIN")),S19,S19+T18),IF(S19=0,0,IF(OR(COUNT(T7:T12,T22:T38)&gt;0,AND(COUNT(T7:T12,T22:T38)=0,T16=0)),IF(OR(AND(T$86="JA",T14&gt;T16),AND(T86="JA",Eingabeblatt!$I$10="NEIN")),S19,S19+T18),0))),S19)</f>
        <v>0</v>
      </c>
      <c r="U19" s="1051">
        <f ca="1">IF(U4&lt;&gt;"",IF(DATE($D$2,MONTH($C$2),U$4)&lt;=Eingabeblatt!$I$8,IF(OR(AND(U$86="JA",U14&gt;U16),AND(U86="JA",Eingabeblatt!$I$10="NEIN")),T19,T19+U18),IF(T19=0,0,IF(OR(COUNT(U7:U12,U22:U38)&gt;0,AND(COUNT(U7:U12,U22:U38)=0,U16=0)),IF(OR(AND(U$86="JA",U14&gt;U16),AND(U86="JA",Eingabeblatt!$I$10="NEIN")),T19,T19+U18),0))),T19)</f>
        <v>0</v>
      </c>
      <c r="V19" s="1051">
        <f ca="1">IF(V4&lt;&gt;"",IF(DATE($D$2,MONTH($C$2),V$4)&lt;=Eingabeblatt!$I$8,IF(OR(AND(V$86="JA",V14&gt;V16),AND(V86="JA",Eingabeblatt!$I$10="NEIN")),U19,U19+V18),IF(U19=0,0,IF(OR(COUNT(V7:V12,V22:V38)&gt;0,AND(COUNT(V7:V12,V22:V38)=0,V16=0)),IF(OR(AND(V$86="JA",V14&gt;V16),AND(V86="JA",Eingabeblatt!$I$10="NEIN")),U19,U19+V18),0))),U19)</f>
        <v>0</v>
      </c>
      <c r="W19" s="1051">
        <f ca="1">IF(W4&lt;&gt;"",IF(DATE($D$2,MONTH($C$2),W$4)&lt;=Eingabeblatt!$I$8,IF(OR(AND(W$86="JA",W14&gt;W16),AND(W86="JA",Eingabeblatt!$I$10="NEIN")),V19,V19+W18),IF(V19=0,0,IF(OR(COUNT(W7:W12,W22:W38)&gt;0,AND(COUNT(W7:W12,W22:W38)=0,W16=0)),IF(OR(AND(W$86="JA",W14&gt;W16),AND(W86="JA",Eingabeblatt!$I$10="NEIN")),V19,V19+W18),0))),V19)</f>
        <v>0</v>
      </c>
      <c r="X19" s="1051">
        <f ca="1">IF(X4&lt;&gt;"",IF(DATE($D$2,MONTH($C$2),X$4)&lt;=Eingabeblatt!$I$8,IF(OR(AND(X$86="JA",X14&gt;X16),AND(X86="JA",Eingabeblatt!$I$10="NEIN")),W19,W19+X18),IF(W19=0,0,IF(OR(COUNT(X7:X12,X22:X38)&gt;0,AND(COUNT(X7:X12,X22:X38)=0,X16=0)),IF(OR(AND(X$86="JA",X14&gt;X16),AND(X86="JA",Eingabeblatt!$I$10="NEIN")),W19,W19+X18),0))),W19)</f>
        <v>0</v>
      </c>
      <c r="Y19" s="1051">
        <f ca="1">IF(Y4&lt;&gt;"",IF(DATE($D$2,MONTH($C$2),Y$4)&lt;=Eingabeblatt!$I$8,IF(OR(AND(Y$86="JA",Y14&gt;Y16),AND(Y86="JA",Eingabeblatt!$I$10="NEIN")),X19,X19+Y18),IF(X19=0,0,IF(OR(COUNT(Y7:Y12,Y22:Y38)&gt;0,AND(COUNT(Y7:Y12,Y22:Y38)=0,Y16=0)),IF(OR(AND(Y$86="JA",Y14&gt;Y16),AND(Y86="JA",Eingabeblatt!$I$10="NEIN")),X19,X19+Y18),0))),X19)</f>
        <v>0</v>
      </c>
      <c r="Z19" s="1051">
        <f ca="1">IF(Z4&lt;&gt;"",IF(DATE($D$2,MONTH($C$2),Z$4)&lt;=Eingabeblatt!$I$8,IF(OR(AND(Z$86="JA",Z14&gt;Z16),AND(Z86="JA",Eingabeblatt!$I$10="NEIN")),Y19,Y19+Z18),IF(Y19=0,0,IF(OR(COUNT(Z7:Z12,Z22:Z38)&gt;0,AND(COUNT(Z7:Z12,Z22:Z38)=0,Z16=0)),IF(OR(AND(Z$86="JA",Z14&gt;Z16),AND(Z86="JA",Eingabeblatt!$I$10="NEIN")),Y19,Y19+Z18),0))),Y19)</f>
        <v>0</v>
      </c>
      <c r="AA19" s="1051">
        <f ca="1">IF(AA4&lt;&gt;"",IF(DATE($D$2,MONTH($C$2),AA$4)&lt;=Eingabeblatt!$I$8,IF(OR(AND(AA$86="JA",AA14&gt;AA16),AND(AA86="JA",Eingabeblatt!$I$10="NEIN")),Z19,Z19+AA18),IF(Z19=0,0,IF(OR(COUNT(AA7:AA12,AA22:AA38)&gt;0,AND(COUNT(AA7:AA12,AA22:AA38)=0,AA16=0)),IF(OR(AND(AA$86="JA",AA14&gt;AA16),AND(AA86="JA",Eingabeblatt!$I$10="NEIN")),Z19,Z19+AA18),0))),Z19)</f>
        <v>0</v>
      </c>
      <c r="AB19" s="1051">
        <f ca="1">IF(AB4&lt;&gt;"",IF(DATE($D$2,MONTH($C$2),AB$4)&lt;=Eingabeblatt!$I$8,IF(OR(AND(AB$86="JA",AB14&gt;AB16),AND(AB86="JA",Eingabeblatt!$I$10="NEIN")),AA19,AA19+AB18),IF(AA19=0,0,IF(OR(COUNT(AB7:AB12,AB22:AB38)&gt;0,AND(COUNT(AB7:AB12,AB22:AB38)=0,AB16=0)),IF(OR(AND(AB$86="JA",AB14&gt;AB16),AND(AB86="JA",Eingabeblatt!$I$10="NEIN")),AA19,AA19+AB18),0))),AA19)</f>
        <v>0</v>
      </c>
      <c r="AC19" s="1051">
        <f ca="1">IF(AC4&lt;&gt;"",IF(DATE($D$2,MONTH($C$2),AC$4)&lt;=Eingabeblatt!$I$8,IF(OR(AND(AC$86="JA",AC14&gt;AC16),AND(AC86="JA",Eingabeblatt!$I$10="NEIN")),AB19,AB19+AC18),IF(AB19=0,0,IF(OR(COUNT(AC7:AC12,AC22:AC38)&gt;0,AND(COUNT(AC7:AC12,AC22:AC38)=0,AC16=0)),IF(OR(AND(AC$86="JA",AC14&gt;AC16),AND(AC86="JA",Eingabeblatt!$I$10="NEIN")),AB19,AB19+AC18),0))),AB19)</f>
        <v>0</v>
      </c>
      <c r="AD19" s="1051">
        <f ca="1">IF(AD4&lt;&gt;"",IF(DATE($D$2,MONTH($C$2),AD$4)&lt;=Eingabeblatt!$I$8,IF(OR(AND(AD$86="JA",AD14&gt;AD16),AND(AD86="JA",Eingabeblatt!$I$10="NEIN")),AC19,AC19+AD18),IF(AC19=0,0,IF(OR(COUNT(AD7:AD12,AD22:AD38)&gt;0,AND(COUNT(AD7:AD12,AD22:AD38)=0,AD16=0)),IF(OR(AND(AD$86="JA",AD14&gt;AD16),AND(AD86="JA",Eingabeblatt!$I$10="NEIN")),AC19,AC19+AD18),0))),AC19)</f>
        <v>0</v>
      </c>
      <c r="AE19" s="1051">
        <f ca="1">IF(AE4&lt;&gt;"",IF(DATE($D$2,MONTH($C$2),AE$4)&lt;=Eingabeblatt!$I$8,IF(OR(AND(AE$86="JA",AE14&gt;AE16),AND(AE86="JA",Eingabeblatt!$I$10="NEIN")),AD19,AD19+AE18),IF(AD19=0,0,IF(OR(COUNT(AE7:AE12,AE22:AE38)&gt;0,AND(COUNT(AE7:AE12,AE22:AE38)=0,AE16=0)),IF(OR(AND(AE$86="JA",AE14&gt;AE16),AND(AE86="JA",Eingabeblatt!$I$10="NEIN")),AD19,AD19+AE18),0))),AD19)</f>
        <v>0</v>
      </c>
      <c r="AF19" s="1051">
        <f ca="1">IF(AF4&lt;&gt;"",IF(DATE($D$2,MONTH($C$2),AF$4)&lt;=Eingabeblatt!$I$8,IF(OR(AND(AF$86="JA",AF14&gt;AF16),AND(AF86="JA",Eingabeblatt!$I$10="NEIN")),AE19,AE19+AF18),IF(AE19=0,0,IF(OR(COUNT(AF7:AF12,AF22:AF38)&gt;0,AND(COUNT(AF7:AF12,AF22:AF38)=0,AF16=0)),IF(OR(AND(AF$86="JA",AF14&gt;AF16),AND(AF86="JA",Eingabeblatt!$I$10="NEIN")),AE19,AE19+AF18),0))),AE19)</f>
        <v>0</v>
      </c>
      <c r="AG19" s="1051">
        <f ca="1">IF(AG4&lt;&gt;"",IF(DATE($D$2,MONTH($C$2),AG$4)&lt;=Eingabeblatt!$I$8,IF(OR(AND(AG$86="JA",AG14&gt;AG16),AND(AG86="JA",Eingabeblatt!$I$10="NEIN")),AF19,AF19+AG18),IF(AF19=0,0,IF(OR(COUNT(AG7:AG12,AG22:AG38)&gt;0,AND(COUNT(AG7:AG12,AG22:AG38)=0,AG16=0)),IF(OR(AND(AG$86="JA",AG14&gt;AG16),AND(AG86="JA",Eingabeblatt!$I$10="NEIN")),AF19,AF19+AG18),0))),AF19)</f>
        <v>0</v>
      </c>
      <c r="AH19" s="1051">
        <f ca="1">IF(AH4&lt;&gt;"",IF(DATE($D$2,MONTH($C$2),AH$4)&lt;=Eingabeblatt!$I$8,IF(OR(AND(AH$86="JA",AH14&gt;AH16),AND(AH86="JA",Eingabeblatt!$I$10="NEIN")),AG19,AG19+AH18),IF(AG19=0,0,IF(OR(COUNT(AH7:AH12,AH22:AH38)&gt;0,AND(COUNT(AH7:AH12,AH22:AH38)=0,AH16=0)),IF(OR(AND(AH$86="JA",AH14&gt;AH16),AND(AH86="JA",Eingabeblatt!$I$10="NEIN")),AG19,AG19+AH18),0))),AG19)</f>
        <v>0</v>
      </c>
      <c r="AI19" s="1052">
        <f ca="1">IF(AI4&lt;&gt;"",IF(DATE($D$2,MONTH($C$2),AI$4)&lt;=Eingabeblatt!$I$8,IF(OR(AND(AI$86="JA",AI14&gt;AI16),AND(AI86="JA",Eingabeblatt!$I$10="NEIN")),AH19,AH19+AI18),IF(AH19=0,0,IF(OR(COUNT(AI7:AI12,AI22:AI38)&gt;0,AND(COUNT(AI7:AI12,AI22:AI38)=0,AI16=0)),IF(OR(AND(AI$86="JA",AI14&gt;AI16),AND(AI86="JA",Eingabeblatt!$I$10="NEIN")),AH19,AH19+AI18),0))),AH19)</f>
        <v>0</v>
      </c>
      <c r="AJ19" s="1053">
        <f ca="1">AI19</f>
        <v>0</v>
      </c>
      <c r="AK19" s="904">
        <f ca="1">AI19</f>
        <v>0</v>
      </c>
      <c r="AL19" s="905" t="s">
        <v>422</v>
      </c>
      <c r="AM19" s="905"/>
      <c r="AN19" s="906"/>
      <c r="AO19" s="781"/>
      <c r="AP19" s="781"/>
      <c r="AQ19" s="781"/>
      <c r="AR19" s="781"/>
      <c r="AS19" s="907"/>
      <c r="AT19" s="781"/>
    </row>
    <row r="20" spans="1:46" ht="22.5" hidden="1" customHeight="1" outlineLevel="1" x14ac:dyDescent="0.2">
      <c r="B20" s="143"/>
      <c r="C20" s="953" t="str">
        <f>Januar!C20</f>
        <v>Feiertagssaldo</v>
      </c>
      <c r="D20" s="954">
        <f>Februar!AJ20</f>
        <v>0</v>
      </c>
      <c r="E20" s="955">
        <f t="shared" ref="E20:AI20" si="9">IF(VLOOKUP(DATE($D$2,MONTH($C$2),E$4),Ferienanspruch,3,TRUE)=100,D20-E21,IF(VLOOKUP(DATE($D$2,MONTH($C$2),E$4),Feiertagsanspruch,6,TRUE)*24&lt;Normtagesarbeitszeit*24,IF((E17-E15)&lt;0,D20-E21+(E15-E17),IF(E17&gt;0,D20-E21,D20-E21+E15)),IF((E17-E15)&lt;0,D20-E21+(E15-E17),IF(E17&gt;0,D20-E21,D20-E21+E15))))</f>
        <v>0</v>
      </c>
      <c r="F20" s="956">
        <f t="shared" si="9"/>
        <v>0</v>
      </c>
      <c r="G20" s="956">
        <f t="shared" si="9"/>
        <v>0</v>
      </c>
      <c r="H20" s="956">
        <f t="shared" si="9"/>
        <v>0</v>
      </c>
      <c r="I20" s="956">
        <f t="shared" si="9"/>
        <v>0</v>
      </c>
      <c r="J20" s="956">
        <f t="shared" si="9"/>
        <v>0</v>
      </c>
      <c r="K20" s="956">
        <f t="shared" si="9"/>
        <v>0</v>
      </c>
      <c r="L20" s="956">
        <f t="shared" si="9"/>
        <v>0</v>
      </c>
      <c r="M20" s="956">
        <f t="shared" si="9"/>
        <v>0</v>
      </c>
      <c r="N20" s="956">
        <f t="shared" si="9"/>
        <v>0</v>
      </c>
      <c r="O20" s="956">
        <f t="shared" si="9"/>
        <v>0</v>
      </c>
      <c r="P20" s="956">
        <f t="shared" si="9"/>
        <v>0</v>
      </c>
      <c r="Q20" s="956">
        <f t="shared" si="9"/>
        <v>0</v>
      </c>
      <c r="R20" s="956">
        <f t="shared" si="9"/>
        <v>0</v>
      </c>
      <c r="S20" s="956">
        <f t="shared" si="9"/>
        <v>0</v>
      </c>
      <c r="T20" s="956">
        <f t="shared" si="9"/>
        <v>0</v>
      </c>
      <c r="U20" s="956">
        <f t="shared" si="9"/>
        <v>0</v>
      </c>
      <c r="V20" s="956">
        <f t="shared" si="9"/>
        <v>0</v>
      </c>
      <c r="W20" s="956">
        <f t="shared" si="9"/>
        <v>0</v>
      </c>
      <c r="X20" s="956">
        <f t="shared" si="9"/>
        <v>0</v>
      </c>
      <c r="Y20" s="956">
        <f t="shared" si="9"/>
        <v>0</v>
      </c>
      <c r="Z20" s="956">
        <f t="shared" si="9"/>
        <v>0</v>
      </c>
      <c r="AA20" s="956">
        <f t="shared" si="9"/>
        <v>0</v>
      </c>
      <c r="AB20" s="956">
        <f t="shared" si="9"/>
        <v>0</v>
      </c>
      <c r="AC20" s="956">
        <f t="shared" si="9"/>
        <v>0</v>
      </c>
      <c r="AD20" s="956">
        <f t="shared" si="9"/>
        <v>0</v>
      </c>
      <c r="AE20" s="956">
        <f t="shared" si="9"/>
        <v>0</v>
      </c>
      <c r="AF20" s="956">
        <f t="shared" si="9"/>
        <v>0</v>
      </c>
      <c r="AG20" s="956">
        <f t="shared" si="9"/>
        <v>0</v>
      </c>
      <c r="AH20" s="956">
        <f t="shared" si="9"/>
        <v>0</v>
      </c>
      <c r="AI20" s="957">
        <f t="shared" si="9"/>
        <v>0</v>
      </c>
      <c r="AJ20" s="142">
        <f>AI20</f>
        <v>0</v>
      </c>
      <c r="AK20" s="912">
        <f>AJ20</f>
        <v>0</v>
      </c>
      <c r="AL20" s="141" t="s">
        <v>423</v>
      </c>
      <c r="AM20" s="91"/>
      <c r="AN20" s="113"/>
      <c r="AO20" s="113"/>
      <c r="AP20" s="113"/>
      <c r="AQ20" s="89"/>
      <c r="AR20" s="89"/>
    </row>
    <row r="21" spans="1:46" s="88" customFormat="1" hidden="1" outlineLevel="1" x14ac:dyDescent="0.2">
      <c r="A21" s="88" t="s">
        <v>424</v>
      </c>
      <c r="B21" s="143"/>
      <c r="C21" s="1054" t="str">
        <f>Januar!C21</f>
        <v>Komp.Feiertg.f.Teilzeiter</v>
      </c>
      <c r="D21" s="1055"/>
      <c r="E21" s="1056"/>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8"/>
      <c r="AJ21" s="1059">
        <f>SUM(D21:AI21)</f>
        <v>0</v>
      </c>
      <c r="AK21" s="1060">
        <f>AJ21</f>
        <v>0</v>
      </c>
      <c r="AL21" s="144" t="s">
        <v>359</v>
      </c>
      <c r="AM21" s="145"/>
      <c r="AN21" s="146"/>
      <c r="AO21" s="146"/>
      <c r="AP21" s="146"/>
      <c r="AQ21" s="147"/>
      <c r="AR21" s="147"/>
      <c r="AT21" s="8"/>
    </row>
    <row r="22" spans="1:46" s="88" customFormat="1" collapsed="1" x14ac:dyDescent="0.2">
      <c r="A22" s="148"/>
      <c r="B22" s="143"/>
      <c r="C22" s="149" t="str">
        <f>Januar!C22</f>
        <v>Ferienbezug</v>
      </c>
      <c r="D22" s="150">
        <f>Februar!AK22</f>
        <v>8.0500000000000007</v>
      </c>
      <c r="E22" s="913"/>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322"/>
      <c r="AJ22" s="151">
        <f>SUM(E22:AI22)</f>
        <v>0</v>
      </c>
      <c r="AK22" s="152">
        <f>ROUND(D22-AJ22,8)</f>
        <v>8.0500000000000007</v>
      </c>
      <c r="AL22" s="144" t="s">
        <v>425</v>
      </c>
      <c r="AM22" s="145" t="s">
        <v>426</v>
      </c>
      <c r="AN22" s="146"/>
      <c r="AO22" s="146"/>
      <c r="AP22" s="146"/>
      <c r="AQ22" s="147"/>
      <c r="AR22" s="147"/>
    </row>
    <row r="23" spans="1:46" s="88" customFormat="1" ht="22.5" hidden="1" customHeight="1" outlineLevel="1" x14ac:dyDescent="0.2">
      <c r="A23" s="148"/>
      <c r="B23" s="153">
        <f>Eingabeblatt!E29</f>
        <v>0</v>
      </c>
      <c r="C23" s="154" t="str">
        <f>Januar!C23</f>
        <v>Kompens. Arbeitszeit</v>
      </c>
      <c r="D23" s="155">
        <f>Februar!AK23</f>
        <v>0</v>
      </c>
      <c r="E23" s="913"/>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322"/>
      <c r="AJ23" s="151">
        <f>SUM(E23:AI23)</f>
        <v>0</v>
      </c>
      <c r="AK23" s="152">
        <f>IF(B23="",0,ROUND(B23+D23-AJ23,8))</f>
        <v>0</v>
      </c>
      <c r="AL23" s="144" t="s">
        <v>425</v>
      </c>
      <c r="AM23" s="145"/>
      <c r="AN23" s="146"/>
      <c r="AO23" s="692"/>
      <c r="AP23" s="146"/>
      <c r="AQ23" s="147"/>
      <c r="AR23" s="147"/>
    </row>
    <row r="24" spans="1:46" s="88" customFormat="1" ht="22.5" hidden="1" customHeight="1" outlineLevel="1" x14ac:dyDescent="0.2">
      <c r="A24" s="148" t="s">
        <v>424</v>
      </c>
      <c r="B24" s="156"/>
      <c r="C24" s="154" t="str">
        <f>Januar!C24</f>
        <v>Kompens. Überzeit</v>
      </c>
      <c r="D24" s="150">
        <f>Februar!AK24</f>
        <v>0</v>
      </c>
      <c r="E24" s="913"/>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322"/>
      <c r="AJ24" s="151">
        <f>SUM(E24:AI24)</f>
        <v>0</v>
      </c>
      <c r="AK24" s="152">
        <f>ROUND(D24+AJ85-AJ24,8)</f>
        <v>0</v>
      </c>
      <c r="AL24" s="157" t="s">
        <v>428</v>
      </c>
      <c r="AM24" s="145" t="s">
        <v>429</v>
      </c>
      <c r="AN24" s="146"/>
      <c r="AO24" s="692"/>
      <c r="AP24" s="146"/>
      <c r="AQ24" s="147"/>
      <c r="AR24" s="147"/>
    </row>
    <row r="25" spans="1:46" s="88" customFormat="1" collapsed="1" x14ac:dyDescent="0.2">
      <c r="A25" s="148"/>
      <c r="B25" s="156"/>
      <c r="C25" s="154" t="str">
        <f>Januar!C25</f>
        <v>Krankheit</v>
      </c>
      <c r="D25" s="158">
        <f>Februar!AK25</f>
        <v>0</v>
      </c>
      <c r="E25" s="913"/>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322"/>
      <c r="AJ25" s="151">
        <f>SUM(E25:AI25)</f>
        <v>0</v>
      </c>
      <c r="AK25" s="152">
        <f t="shared" ref="AK25:AK30" si="10">ROUND(B25+D25+AJ25,8)</f>
        <v>0</v>
      </c>
      <c r="AL25" s="144" t="s">
        <v>359</v>
      </c>
      <c r="AM25" s="145"/>
      <c r="AN25" s="146"/>
      <c r="AO25" s="146"/>
      <c r="AP25" s="147"/>
      <c r="AQ25" s="147"/>
      <c r="AR25" s="147"/>
    </row>
    <row r="26" spans="1:46" s="88" customFormat="1" x14ac:dyDescent="0.2">
      <c r="A26" s="148"/>
      <c r="B26" s="156"/>
      <c r="C26" s="154" t="str">
        <f>Januar!C26</f>
        <v>Unfall</v>
      </c>
      <c r="D26" s="158">
        <f>Februar!AK26</f>
        <v>0</v>
      </c>
      <c r="E26" s="913"/>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322"/>
      <c r="AJ26" s="151">
        <f>SUM(E26:AI26)</f>
        <v>0</v>
      </c>
      <c r="AK26" s="152">
        <f t="shared" si="10"/>
        <v>0</v>
      </c>
      <c r="AL26" s="144" t="s">
        <v>359</v>
      </c>
      <c r="AM26" s="145" t="s">
        <v>430</v>
      </c>
      <c r="AN26" s="146"/>
      <c r="AO26" s="146"/>
      <c r="AP26" s="146"/>
      <c r="AQ26" s="147"/>
      <c r="AR26" s="147"/>
    </row>
    <row r="27" spans="1:46" s="88" customFormat="1" x14ac:dyDescent="0.2">
      <c r="A27" s="148"/>
      <c r="B27" s="156"/>
      <c r="C27" s="154" t="str">
        <f>Januar!C27</f>
        <v>Militär / Zivildienst</v>
      </c>
      <c r="D27" s="158">
        <f>Februar!AK27</f>
        <v>0</v>
      </c>
      <c r="E27" s="913"/>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322"/>
      <c r="AJ27" s="151">
        <f t="shared" ref="AJ27:AJ35" si="11">SUM(E27:AI27)</f>
        <v>0</v>
      </c>
      <c r="AK27" s="152">
        <f t="shared" si="10"/>
        <v>0</v>
      </c>
      <c r="AL27" s="144" t="s">
        <v>359</v>
      </c>
      <c r="AM27" s="145"/>
      <c r="AN27" s="146"/>
      <c r="AO27" s="146"/>
      <c r="AP27" s="147"/>
      <c r="AQ27" s="147"/>
      <c r="AR27" s="147"/>
    </row>
    <row r="28" spans="1:46" s="88" customFormat="1" ht="22.5" hidden="1" customHeight="1" outlineLevel="2" x14ac:dyDescent="0.2">
      <c r="A28" s="148" t="s">
        <v>424</v>
      </c>
      <c r="B28" s="156"/>
      <c r="C28" s="154" t="str">
        <f>Januar!C28</f>
        <v>Nichtberufsunfall</v>
      </c>
      <c r="D28" s="158">
        <f>Februar!AK28</f>
        <v>0</v>
      </c>
      <c r="E28" s="913"/>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322"/>
      <c r="AJ28" s="151">
        <f t="shared" si="11"/>
        <v>0</v>
      </c>
      <c r="AK28" s="152">
        <f t="shared" si="10"/>
        <v>0</v>
      </c>
      <c r="AL28" s="157" t="s">
        <v>359</v>
      </c>
      <c r="AM28" s="145"/>
      <c r="AN28" s="146"/>
      <c r="AO28" s="692"/>
      <c r="AP28" s="146"/>
      <c r="AQ28" s="147"/>
      <c r="AR28" s="147"/>
    </row>
    <row r="29" spans="1:46" s="88" customFormat="1" collapsed="1" x14ac:dyDescent="0.2">
      <c r="A29" s="148"/>
      <c r="B29" s="156"/>
      <c r="C29" s="154" t="str">
        <f>Januar!C29</f>
        <v>Weiterbildung</v>
      </c>
      <c r="D29" s="158">
        <f>Februar!AK29</f>
        <v>0</v>
      </c>
      <c r="E29" s="913"/>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322"/>
      <c r="AJ29" s="151">
        <f t="shared" si="11"/>
        <v>0</v>
      </c>
      <c r="AK29" s="152">
        <f t="shared" si="10"/>
        <v>0</v>
      </c>
      <c r="AL29" s="144" t="s">
        <v>359</v>
      </c>
      <c r="AM29" s="145"/>
      <c r="AN29" s="146"/>
      <c r="AO29" s="146"/>
      <c r="AP29" s="147"/>
      <c r="AQ29" s="147"/>
      <c r="AR29" s="147"/>
    </row>
    <row r="30" spans="1:46" s="88" customFormat="1" x14ac:dyDescent="0.2">
      <c r="A30" s="148"/>
      <c r="B30" s="156"/>
      <c r="C30" s="154" t="str">
        <f>Januar!C30</f>
        <v>Unbezahlter Urlaub</v>
      </c>
      <c r="D30" s="158">
        <f>Februar!AK30</f>
        <v>0</v>
      </c>
      <c r="E30" s="913"/>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322"/>
      <c r="AJ30" s="151">
        <f t="shared" si="11"/>
        <v>0</v>
      </c>
      <c r="AK30" s="152">
        <f t="shared" si="10"/>
        <v>0</v>
      </c>
      <c r="AL30" s="144" t="s">
        <v>359</v>
      </c>
      <c r="AM30" s="145"/>
      <c r="AN30" s="146"/>
      <c r="AO30" s="146"/>
      <c r="AP30" s="147"/>
      <c r="AQ30" s="147"/>
      <c r="AR30" s="147"/>
    </row>
    <row r="31" spans="1:46" s="88" customFormat="1" x14ac:dyDescent="0.2">
      <c r="A31" s="148"/>
      <c r="B31" s="159">
        <f>IF(Eingabeblatt!C183="OK",Eingabeblatt!A183,"  Fehler")</f>
        <v>0</v>
      </c>
      <c r="C31" s="154" t="str">
        <f>Januar!C31</f>
        <v>Bezahlter Urlaub</v>
      </c>
      <c r="D31" s="158">
        <f>Februar!AK31</f>
        <v>0</v>
      </c>
      <c r="E31" s="913"/>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322"/>
      <c r="AJ31" s="151">
        <f t="shared" si="11"/>
        <v>0</v>
      </c>
      <c r="AK31" s="160">
        <f>ROUND(B31+D31-AJ31,8)</f>
        <v>0</v>
      </c>
      <c r="AL31" s="144" t="s">
        <v>425</v>
      </c>
      <c r="AM31" s="145"/>
      <c r="AN31" s="146"/>
      <c r="AO31" s="146"/>
      <c r="AP31" s="147"/>
      <c r="AQ31" s="147"/>
      <c r="AR31" s="147"/>
    </row>
    <row r="32" spans="1:46" s="88" customFormat="1" x14ac:dyDescent="0.2">
      <c r="A32" s="148"/>
      <c r="B32" s="159">
        <f>IF(Eingabeblatt!C184="OK",Eingabeblatt!A184,"  Fehler")</f>
        <v>0</v>
      </c>
      <c r="C32" s="161" t="str">
        <f>Januar!C32</f>
        <v>Kaderarbeitszeit</v>
      </c>
      <c r="D32" s="162">
        <f>Februar!AK32</f>
        <v>0</v>
      </c>
      <c r="E32" s="914"/>
      <c r="F32" s="915"/>
      <c r="G32" s="915"/>
      <c r="H32" s="915"/>
      <c r="I32" s="915"/>
      <c r="J32" s="915"/>
      <c r="K32" s="915"/>
      <c r="L32" s="915"/>
      <c r="M32" s="915"/>
      <c r="N32" s="915"/>
      <c r="O32" s="915"/>
      <c r="P32" s="915"/>
      <c r="Q32" s="915"/>
      <c r="R32" s="915"/>
      <c r="S32" s="915"/>
      <c r="T32" s="915"/>
      <c r="U32" s="915"/>
      <c r="V32" s="915"/>
      <c r="W32" s="915"/>
      <c r="X32" s="915"/>
      <c r="Y32" s="915"/>
      <c r="Z32" s="915"/>
      <c r="AA32" s="915"/>
      <c r="AB32" s="915"/>
      <c r="AC32" s="915"/>
      <c r="AD32" s="915"/>
      <c r="AE32" s="915"/>
      <c r="AF32" s="915"/>
      <c r="AG32" s="915"/>
      <c r="AH32" s="915"/>
      <c r="AI32" s="916"/>
      <c r="AJ32" s="163">
        <f t="shared" si="11"/>
        <v>0</v>
      </c>
      <c r="AK32" s="164">
        <f>ROUND(B32+D32-AJ32,8)</f>
        <v>0</v>
      </c>
      <c r="AL32" s="157" t="s">
        <v>425</v>
      </c>
      <c r="AM32" s="145"/>
      <c r="AN32" s="146"/>
      <c r="AO32" s="146"/>
      <c r="AP32" s="146"/>
      <c r="AQ32" s="147"/>
      <c r="AR32" s="147"/>
    </row>
    <row r="33" spans="1:46" ht="22.5" hidden="1" customHeight="1" outlineLevel="1" x14ac:dyDescent="0.2">
      <c r="A33" s="165" t="s">
        <v>424</v>
      </c>
      <c r="B33" s="156">
        <f>IF(Eingabeblatt!C185="OK",Eingabeblatt!A185,"  Fehler")</f>
        <v>0</v>
      </c>
      <c r="C33" s="166" t="str">
        <f>Januar!C33</f>
        <v>Nebenbeschäftigung</v>
      </c>
      <c r="D33" s="162"/>
      <c r="E33" s="167"/>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9"/>
      <c r="AJ33" s="140">
        <f t="shared" si="11"/>
        <v>0</v>
      </c>
      <c r="AK33" s="917">
        <f>ROUND(B33+D33-AJ33,8)</f>
        <v>0</v>
      </c>
      <c r="AL33" s="157" t="s">
        <v>425</v>
      </c>
      <c r="AM33" s="91"/>
      <c r="AN33" s="113"/>
      <c r="AO33" s="692"/>
      <c r="AP33" s="113"/>
      <c r="AQ33" s="89"/>
      <c r="AR33" s="89"/>
      <c r="AT33" s="88"/>
    </row>
    <row r="34" spans="1:46" ht="22.5" hidden="1" customHeight="1" outlineLevel="1" x14ac:dyDescent="0.2">
      <c r="A34" s="165"/>
      <c r="B34" s="156">
        <f>IF(Eingabeblatt!C182="OK",Eingabeblatt!A182,"  Fehler")</f>
        <v>0</v>
      </c>
      <c r="C34" s="170" t="str">
        <f>Januar!C34</f>
        <v>D A G</v>
      </c>
      <c r="D34" s="162">
        <f>Februar!AK34</f>
        <v>0</v>
      </c>
      <c r="E34" s="171"/>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3"/>
      <c r="AJ34" s="174">
        <f>SUM(E34:AI34)</f>
        <v>0</v>
      </c>
      <c r="AK34" s="152">
        <f>ROUND(B34+D34-AJ34,8)</f>
        <v>0</v>
      </c>
      <c r="AL34" s="157" t="s">
        <v>425</v>
      </c>
      <c r="AM34" s="91"/>
      <c r="AN34" s="113"/>
      <c r="AO34" s="692"/>
      <c r="AP34" s="113"/>
      <c r="AQ34" s="89"/>
      <c r="AR34" s="89"/>
    </row>
    <row r="35" spans="1:46" ht="22.5" hidden="1" customHeight="1" outlineLevel="1" x14ac:dyDescent="0.2">
      <c r="A35" s="165" t="s">
        <v>424</v>
      </c>
      <c r="B35" s="156"/>
      <c r="C35" s="170" t="str">
        <f>Januar!C35</f>
        <v>Diverses</v>
      </c>
      <c r="D35" s="162"/>
      <c r="E35" s="171"/>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c r="AJ35" s="174">
        <f t="shared" si="11"/>
        <v>0</v>
      </c>
      <c r="AK35" s="152">
        <f>ROUND(B35+D35+AJ35,8)</f>
        <v>0</v>
      </c>
      <c r="AL35" s="157" t="s">
        <v>359</v>
      </c>
      <c r="AM35" s="91"/>
      <c r="AN35" s="113"/>
      <c r="AO35" s="692"/>
      <c r="AP35" s="113"/>
      <c r="AQ35" s="89"/>
      <c r="AR35" s="89"/>
    </row>
    <row r="36" spans="1:46" ht="22.5" hidden="1" customHeight="1" outlineLevel="1" x14ac:dyDescent="0.2">
      <c r="A36" s="165" t="s">
        <v>424</v>
      </c>
      <c r="B36" s="156"/>
      <c r="C36" s="170" t="str">
        <f>Januar!C36</f>
        <v>freie Zeile 1</v>
      </c>
      <c r="D36" s="162"/>
      <c r="E36" s="171"/>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c r="AJ36" s="174">
        <f>SUM(E36:AI36)</f>
        <v>0</v>
      </c>
      <c r="AK36" s="152">
        <f>ROUND(B36+D36+AJ36,8)</f>
        <v>0</v>
      </c>
      <c r="AL36" s="157" t="s">
        <v>359</v>
      </c>
      <c r="AM36" s="91"/>
      <c r="AN36" s="113"/>
      <c r="AO36" s="692"/>
      <c r="AP36" s="113"/>
      <c r="AQ36" s="89"/>
      <c r="AR36" s="89"/>
    </row>
    <row r="37" spans="1:46" ht="22.5" hidden="1" customHeight="1" outlineLevel="1" x14ac:dyDescent="0.2">
      <c r="A37" s="165" t="s">
        <v>424</v>
      </c>
      <c r="B37" s="156"/>
      <c r="C37" s="170" t="str">
        <f>Januar!C37</f>
        <v>freie Zeile 2</v>
      </c>
      <c r="D37" s="162"/>
      <c r="E37" s="171"/>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3"/>
      <c r="AJ37" s="174">
        <f>SUM(E37:AI37)</f>
        <v>0</v>
      </c>
      <c r="AK37" s="152">
        <f>ROUND(B37+D37+AJ37,8)</f>
        <v>0</v>
      </c>
      <c r="AL37" s="157" t="s">
        <v>359</v>
      </c>
      <c r="AM37" s="91"/>
      <c r="AN37" s="113"/>
      <c r="AO37" s="692"/>
      <c r="AP37" s="113"/>
      <c r="AQ37" s="89"/>
      <c r="AR37" s="89"/>
    </row>
    <row r="38" spans="1:46" ht="22.5" hidden="1" customHeight="1" outlineLevel="1" x14ac:dyDescent="0.2">
      <c r="A38" s="165" t="s">
        <v>424</v>
      </c>
      <c r="B38" s="156"/>
      <c r="C38" s="175" t="str">
        <f>Januar!C38</f>
        <v>freie Zeile 3</v>
      </c>
      <c r="D38" s="162"/>
      <c r="E38" s="176"/>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8"/>
      <c r="AJ38" s="142">
        <f>SUM(E38:AI38)</f>
        <v>0</v>
      </c>
      <c r="AK38" s="912">
        <f>ROUND(B38+D38+AJ38,8)</f>
        <v>0</v>
      </c>
      <c r="AL38" s="157" t="s">
        <v>359</v>
      </c>
      <c r="AM38" s="91"/>
      <c r="AN38" s="113"/>
      <c r="AO38" s="692"/>
      <c r="AP38" s="113"/>
      <c r="AQ38" s="89"/>
      <c r="AR38" s="89"/>
    </row>
    <row r="39" spans="1:46" s="34" customFormat="1" hidden="1" outlineLevel="1" x14ac:dyDescent="0.2">
      <c r="A39" s="179"/>
      <c r="B39" s="180"/>
      <c r="C39" s="918" t="str">
        <f>Januar!C39</f>
        <v>Arbeitszeit aufgeteilt</v>
      </c>
      <c r="D39" s="1061"/>
      <c r="E39" s="1062">
        <f>ROUND(SUM(E41:E84),8)</f>
        <v>0</v>
      </c>
      <c r="F39" s="1063">
        <f>ROUND(SUM(F41:F84),8)</f>
        <v>0</v>
      </c>
      <c r="G39" s="1063">
        <f>ROUND(SUM(G41:G84),8)</f>
        <v>0</v>
      </c>
      <c r="H39" s="1063">
        <f t="shared" ref="H39:AI39" si="12">ROUND(SUM(H41:H84),8)</f>
        <v>0</v>
      </c>
      <c r="I39" s="1063">
        <f t="shared" si="12"/>
        <v>0</v>
      </c>
      <c r="J39" s="1063">
        <f t="shared" si="12"/>
        <v>0</v>
      </c>
      <c r="K39" s="1063">
        <f t="shared" si="12"/>
        <v>0</v>
      </c>
      <c r="L39" s="1063">
        <f t="shared" si="12"/>
        <v>0</v>
      </c>
      <c r="M39" s="1063">
        <f t="shared" si="12"/>
        <v>0</v>
      </c>
      <c r="N39" s="1063">
        <f t="shared" si="12"/>
        <v>0</v>
      </c>
      <c r="O39" s="1063">
        <f t="shared" si="12"/>
        <v>0</v>
      </c>
      <c r="P39" s="1063">
        <f t="shared" si="12"/>
        <v>0</v>
      </c>
      <c r="Q39" s="1063">
        <f t="shared" si="12"/>
        <v>0</v>
      </c>
      <c r="R39" s="1063">
        <f t="shared" si="12"/>
        <v>0</v>
      </c>
      <c r="S39" s="1063">
        <f t="shared" si="12"/>
        <v>0</v>
      </c>
      <c r="T39" s="1063">
        <f t="shared" si="12"/>
        <v>0</v>
      </c>
      <c r="U39" s="1063">
        <f t="shared" si="12"/>
        <v>0</v>
      </c>
      <c r="V39" s="1063">
        <f t="shared" si="12"/>
        <v>0</v>
      </c>
      <c r="W39" s="1063">
        <f t="shared" si="12"/>
        <v>0</v>
      </c>
      <c r="X39" s="1063">
        <f t="shared" si="12"/>
        <v>0</v>
      </c>
      <c r="Y39" s="1063">
        <f t="shared" si="12"/>
        <v>0</v>
      </c>
      <c r="Z39" s="1063">
        <f t="shared" si="12"/>
        <v>0</v>
      </c>
      <c r="AA39" s="1063">
        <f t="shared" si="12"/>
        <v>0</v>
      </c>
      <c r="AB39" s="1063">
        <f t="shared" si="12"/>
        <v>0</v>
      </c>
      <c r="AC39" s="1063">
        <f t="shared" si="12"/>
        <v>0</v>
      </c>
      <c r="AD39" s="1063">
        <f t="shared" si="12"/>
        <v>0</v>
      </c>
      <c r="AE39" s="1063">
        <f t="shared" si="12"/>
        <v>0</v>
      </c>
      <c r="AF39" s="1063">
        <f t="shared" si="12"/>
        <v>0</v>
      </c>
      <c r="AG39" s="1063">
        <f t="shared" si="12"/>
        <v>0</v>
      </c>
      <c r="AH39" s="1063">
        <f t="shared" si="12"/>
        <v>0</v>
      </c>
      <c r="AI39" s="1064">
        <f t="shared" si="12"/>
        <v>0</v>
      </c>
      <c r="AJ39" s="969"/>
      <c r="AK39" s="1065"/>
      <c r="AL39" s="13"/>
      <c r="AM39" s="181"/>
      <c r="AN39" s="182"/>
      <c r="AT39" s="8"/>
    </row>
    <row r="40" spans="1:46" s="34" customFormat="1" ht="42" customHeight="1" collapsed="1" x14ac:dyDescent="0.2">
      <c r="A40" s="179"/>
      <c r="B40" s="180"/>
      <c r="C40" s="919" t="str">
        <f>Januar!C40</f>
        <v>in folgenden Bereichen nicht oder zuviel aufgeteilte Arbeitszeit</v>
      </c>
      <c r="D40" s="920"/>
      <c r="E40" s="921">
        <f t="shared" ref="E40:AI40" si="13">ROUND(IF(E13=E39,0,IF(E13&lt;&gt;0,E13-E39,0)),8)</f>
        <v>0</v>
      </c>
      <c r="F40" s="922">
        <f t="shared" si="13"/>
        <v>0</v>
      </c>
      <c r="G40" s="922">
        <f t="shared" si="13"/>
        <v>0</v>
      </c>
      <c r="H40" s="922">
        <f t="shared" si="13"/>
        <v>0</v>
      </c>
      <c r="I40" s="922">
        <f t="shared" si="13"/>
        <v>0</v>
      </c>
      <c r="J40" s="922">
        <f t="shared" si="13"/>
        <v>0</v>
      </c>
      <c r="K40" s="922">
        <f t="shared" si="13"/>
        <v>0</v>
      </c>
      <c r="L40" s="922">
        <f t="shared" si="13"/>
        <v>0</v>
      </c>
      <c r="M40" s="922">
        <f t="shared" si="13"/>
        <v>0</v>
      </c>
      <c r="N40" s="922">
        <f t="shared" si="13"/>
        <v>0</v>
      </c>
      <c r="O40" s="922">
        <f t="shared" si="13"/>
        <v>0</v>
      </c>
      <c r="P40" s="922">
        <f t="shared" si="13"/>
        <v>0</v>
      </c>
      <c r="Q40" s="922">
        <f t="shared" si="13"/>
        <v>0</v>
      </c>
      <c r="R40" s="922">
        <f t="shared" si="13"/>
        <v>0</v>
      </c>
      <c r="S40" s="922">
        <f t="shared" si="13"/>
        <v>0</v>
      </c>
      <c r="T40" s="922">
        <f t="shared" si="13"/>
        <v>0</v>
      </c>
      <c r="U40" s="922">
        <f t="shared" si="13"/>
        <v>0</v>
      </c>
      <c r="V40" s="922">
        <f t="shared" si="13"/>
        <v>0</v>
      </c>
      <c r="W40" s="922">
        <f t="shared" si="13"/>
        <v>0</v>
      </c>
      <c r="X40" s="922">
        <f t="shared" si="13"/>
        <v>0</v>
      </c>
      <c r="Y40" s="922">
        <f t="shared" si="13"/>
        <v>0</v>
      </c>
      <c r="Z40" s="922">
        <f t="shared" si="13"/>
        <v>0</v>
      </c>
      <c r="AA40" s="922">
        <f t="shared" si="13"/>
        <v>0</v>
      </c>
      <c r="AB40" s="922">
        <f t="shared" si="13"/>
        <v>0</v>
      </c>
      <c r="AC40" s="922">
        <f t="shared" si="13"/>
        <v>0</v>
      </c>
      <c r="AD40" s="922">
        <f t="shared" si="13"/>
        <v>0</v>
      </c>
      <c r="AE40" s="922">
        <f t="shared" si="13"/>
        <v>0</v>
      </c>
      <c r="AF40" s="922">
        <f t="shared" si="13"/>
        <v>0</v>
      </c>
      <c r="AG40" s="922">
        <f t="shared" si="13"/>
        <v>0</v>
      </c>
      <c r="AH40" s="922">
        <f t="shared" si="13"/>
        <v>0</v>
      </c>
      <c r="AI40" s="923">
        <f t="shared" si="13"/>
        <v>0</v>
      </c>
      <c r="AJ40" s="183"/>
      <c r="AK40" s="924"/>
      <c r="AL40" s="13"/>
      <c r="AM40" s="181"/>
      <c r="AN40" s="182"/>
    </row>
    <row r="41" spans="1:46" s="37" customFormat="1" x14ac:dyDescent="0.2">
      <c r="A41" s="148"/>
      <c r="B41" s="1066" t="str">
        <f>ctArbeitsgebiete!A9</f>
        <v>A01</v>
      </c>
      <c r="C41" s="1067" t="str">
        <f>IF(ctArbeitsgebiete!B9&lt;&gt;"",ctArbeitsgebiete!B9,"")</f>
        <v/>
      </c>
      <c r="D41" s="1068"/>
      <c r="E41" s="1069"/>
      <c r="F41" s="1070"/>
      <c r="G41" s="1070"/>
      <c r="H41" s="1070"/>
      <c r="I41" s="1070"/>
      <c r="J41" s="1070"/>
      <c r="K41" s="1070"/>
      <c r="L41" s="1070"/>
      <c r="M41" s="1070"/>
      <c r="N41" s="1070"/>
      <c r="O41" s="1070"/>
      <c r="P41" s="1070"/>
      <c r="Q41" s="1070"/>
      <c r="R41" s="1070"/>
      <c r="S41" s="1070"/>
      <c r="T41" s="1070"/>
      <c r="U41" s="1070"/>
      <c r="V41" s="1070"/>
      <c r="W41" s="1070"/>
      <c r="X41" s="1070"/>
      <c r="Y41" s="1070"/>
      <c r="Z41" s="1070"/>
      <c r="AA41" s="1070"/>
      <c r="AB41" s="1070"/>
      <c r="AC41" s="1070"/>
      <c r="AD41" s="1070"/>
      <c r="AE41" s="1070"/>
      <c r="AF41" s="1070"/>
      <c r="AG41" s="1070"/>
      <c r="AH41" s="1070"/>
      <c r="AI41" s="1071"/>
      <c r="AJ41" s="1072">
        <f>SUM(E41:AI41)</f>
        <v>0</v>
      </c>
      <c r="AK41" s="152"/>
      <c r="AL41" s="146"/>
      <c r="AM41" s="147"/>
      <c r="AN41" s="147"/>
      <c r="AO41" s="147"/>
      <c r="AP41" s="147"/>
      <c r="AQ41" s="147"/>
      <c r="AR41" s="147"/>
      <c r="AS41" s="88"/>
      <c r="AT41" s="34"/>
    </row>
    <row r="42" spans="1:46" x14ac:dyDescent="0.2">
      <c r="A42" s="165"/>
      <c r="B42" s="185" t="str">
        <f>ctArbeitsgebiete!A10</f>
        <v>A02</v>
      </c>
      <c r="C42" s="186" t="str">
        <f>IF(ctArbeitsgebiete!B10&lt;&gt;"",ctArbeitsgebiete!B10,"")</f>
        <v/>
      </c>
      <c r="D42" s="187"/>
      <c r="E42" s="913"/>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322"/>
      <c r="AJ42" s="188">
        <f t="shared" ref="AJ42:AJ84" si="14">SUM(E42:AI42)</f>
        <v>0</v>
      </c>
      <c r="AK42" s="152"/>
      <c r="AL42" s="113"/>
      <c r="AM42" s="89"/>
      <c r="AN42" s="89"/>
      <c r="AO42" s="89"/>
      <c r="AP42" s="89"/>
      <c r="AQ42" s="89"/>
      <c r="AR42" s="89"/>
      <c r="AT42" s="88"/>
    </row>
    <row r="43" spans="1:46" x14ac:dyDescent="0.2">
      <c r="A43" s="165"/>
      <c r="B43" s="185" t="str">
        <f>ctArbeitsgebiete!A11</f>
        <v>A03</v>
      </c>
      <c r="C43" s="186" t="str">
        <f>IF(ctArbeitsgebiete!B11&lt;&gt;"",ctArbeitsgebiete!B11,"")</f>
        <v/>
      </c>
      <c r="D43" s="187"/>
      <c r="E43" s="913"/>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22"/>
      <c r="AJ43" s="188">
        <f t="shared" si="14"/>
        <v>0</v>
      </c>
      <c r="AK43" s="152"/>
      <c r="AL43" s="113"/>
      <c r="AM43" s="89"/>
      <c r="AN43" s="89"/>
      <c r="AO43" s="89"/>
      <c r="AP43" s="89"/>
      <c r="AQ43" s="89"/>
      <c r="AR43" s="89"/>
    </row>
    <row r="44" spans="1:46" x14ac:dyDescent="0.2">
      <c r="A44" s="165"/>
      <c r="B44" s="185" t="str">
        <f>ctArbeitsgebiete!A12</f>
        <v>A04</v>
      </c>
      <c r="C44" s="186" t="str">
        <f>IF(ctArbeitsgebiete!B12&lt;&gt;"",ctArbeitsgebiete!B12,"")</f>
        <v/>
      </c>
      <c r="D44" s="187"/>
      <c r="E44" s="913"/>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322"/>
      <c r="AJ44" s="188">
        <f t="shared" si="14"/>
        <v>0</v>
      </c>
      <c r="AK44" s="152"/>
      <c r="AL44" s="113"/>
      <c r="AM44" s="89"/>
      <c r="AN44" s="89"/>
      <c r="AO44" s="89"/>
      <c r="AP44" s="89"/>
      <c r="AQ44" s="89"/>
      <c r="AR44" s="89"/>
    </row>
    <row r="45" spans="1:46" x14ac:dyDescent="0.2">
      <c r="A45" s="165"/>
      <c r="B45" s="185" t="str">
        <f>ctArbeitsgebiete!A13</f>
        <v>A05</v>
      </c>
      <c r="C45" s="186" t="str">
        <f>IF(ctArbeitsgebiete!B13&lt;&gt;"",ctArbeitsgebiete!B13,"")</f>
        <v/>
      </c>
      <c r="D45" s="187"/>
      <c r="E45" s="913"/>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322"/>
      <c r="AJ45" s="188">
        <f t="shared" si="14"/>
        <v>0</v>
      </c>
      <c r="AK45" s="152"/>
      <c r="AL45" s="113"/>
      <c r="AM45" s="89"/>
      <c r="AN45" s="89"/>
      <c r="AO45" s="89"/>
      <c r="AP45" s="89"/>
      <c r="AQ45" s="89"/>
      <c r="AR45" s="89"/>
    </row>
    <row r="46" spans="1:46" x14ac:dyDescent="0.2">
      <c r="A46" s="165"/>
      <c r="B46" s="185" t="str">
        <f>ctArbeitsgebiete!A14</f>
        <v>A06</v>
      </c>
      <c r="C46" s="186" t="str">
        <f>IF(ctArbeitsgebiete!B14&lt;&gt;"",ctArbeitsgebiete!B14,"")</f>
        <v/>
      </c>
      <c r="D46" s="187"/>
      <c r="E46" s="913"/>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322"/>
      <c r="AJ46" s="188">
        <f t="shared" si="14"/>
        <v>0</v>
      </c>
      <c r="AK46" s="152"/>
      <c r="AL46" s="113"/>
      <c r="AM46" s="89"/>
      <c r="AN46" s="89"/>
      <c r="AO46" s="89"/>
      <c r="AP46" s="89"/>
      <c r="AQ46" s="89"/>
      <c r="AR46" s="89"/>
    </row>
    <row r="47" spans="1:46" x14ac:dyDescent="0.2">
      <c r="A47" s="165"/>
      <c r="B47" s="185" t="str">
        <f>ctArbeitsgebiete!A15</f>
        <v>A07</v>
      </c>
      <c r="C47" s="186" t="str">
        <f>IF(ctArbeitsgebiete!B15&lt;&gt;"",ctArbeitsgebiete!B15,"")</f>
        <v/>
      </c>
      <c r="D47" s="187"/>
      <c r="E47" s="913"/>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322"/>
      <c r="AJ47" s="188">
        <f t="shared" si="14"/>
        <v>0</v>
      </c>
      <c r="AK47" s="152"/>
      <c r="AL47" s="113"/>
      <c r="AM47" s="89"/>
      <c r="AN47" s="89"/>
      <c r="AO47" s="89"/>
      <c r="AP47" s="89"/>
      <c r="AQ47" s="89"/>
      <c r="AR47" s="89"/>
    </row>
    <row r="48" spans="1:46" x14ac:dyDescent="0.2">
      <c r="A48" s="165"/>
      <c r="B48" s="185" t="str">
        <f>ctArbeitsgebiete!A16</f>
        <v>A08</v>
      </c>
      <c r="C48" s="186" t="str">
        <f>IF(ctArbeitsgebiete!B16&lt;&gt;"",ctArbeitsgebiete!B16,"")</f>
        <v/>
      </c>
      <c r="D48" s="187"/>
      <c r="E48" s="913"/>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322"/>
      <c r="AJ48" s="188">
        <f t="shared" si="14"/>
        <v>0</v>
      </c>
      <c r="AK48" s="152"/>
      <c r="AL48" s="113"/>
      <c r="AM48" s="89"/>
      <c r="AN48" s="89"/>
      <c r="AO48" s="89"/>
      <c r="AP48" s="89"/>
      <c r="AQ48" s="89"/>
      <c r="AR48" s="89"/>
    </row>
    <row r="49" spans="1:44" x14ac:dyDescent="0.2">
      <c r="A49" s="165"/>
      <c r="B49" s="185" t="str">
        <f>ctArbeitsgebiete!A17</f>
        <v>A09</v>
      </c>
      <c r="C49" s="186" t="str">
        <f>IF(ctArbeitsgebiete!B17&lt;&gt;"",ctArbeitsgebiete!B17,"")</f>
        <v/>
      </c>
      <c r="D49" s="187"/>
      <c r="E49" s="913"/>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322"/>
      <c r="AJ49" s="188">
        <f t="shared" si="14"/>
        <v>0</v>
      </c>
      <c r="AK49" s="152"/>
      <c r="AL49" s="113"/>
      <c r="AM49" s="89"/>
      <c r="AN49" s="89"/>
      <c r="AO49" s="89"/>
      <c r="AP49" s="89"/>
      <c r="AQ49" s="89"/>
      <c r="AR49" s="89"/>
    </row>
    <row r="50" spans="1:44" x14ac:dyDescent="0.2">
      <c r="A50" s="165"/>
      <c r="B50" s="185" t="str">
        <f>ctArbeitsgebiete!A18</f>
        <v>A10</v>
      </c>
      <c r="C50" s="186" t="str">
        <f>IF(ctArbeitsgebiete!B18&lt;&gt;"",ctArbeitsgebiete!B18,"")</f>
        <v/>
      </c>
      <c r="D50" s="187"/>
      <c r="E50" s="913"/>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322"/>
      <c r="AJ50" s="188">
        <f t="shared" si="14"/>
        <v>0</v>
      </c>
      <c r="AK50" s="152"/>
      <c r="AL50" s="113"/>
      <c r="AM50" s="89"/>
      <c r="AN50" s="89"/>
      <c r="AO50" s="89"/>
      <c r="AP50" s="89"/>
      <c r="AQ50" s="89"/>
      <c r="AR50" s="89"/>
    </row>
    <row r="51" spans="1:44" x14ac:dyDescent="0.2">
      <c r="A51" s="165"/>
      <c r="B51" s="185" t="str">
        <f>ctArbeitsgebiete!A19</f>
        <v>A11</v>
      </c>
      <c r="C51" s="186" t="str">
        <f>IF(ctArbeitsgebiete!B19&lt;&gt;"",ctArbeitsgebiete!B19,"")</f>
        <v/>
      </c>
      <c r="D51" s="187"/>
      <c r="E51" s="913"/>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322"/>
      <c r="AJ51" s="188">
        <f t="shared" si="14"/>
        <v>0</v>
      </c>
      <c r="AK51" s="152"/>
      <c r="AL51" s="113"/>
      <c r="AM51" s="89"/>
      <c r="AN51" s="89"/>
      <c r="AO51" s="89"/>
      <c r="AP51" s="89"/>
      <c r="AQ51" s="89"/>
      <c r="AR51" s="89"/>
    </row>
    <row r="52" spans="1:44" x14ac:dyDescent="0.2">
      <c r="A52" s="165"/>
      <c r="B52" s="185" t="str">
        <f>ctArbeitsgebiete!A20</f>
        <v>A12</v>
      </c>
      <c r="C52" s="186" t="str">
        <f>IF(ctArbeitsgebiete!B20&lt;&gt;"",ctArbeitsgebiete!B20,"")</f>
        <v/>
      </c>
      <c r="D52" s="187"/>
      <c r="E52" s="913"/>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322"/>
      <c r="AJ52" s="188">
        <f t="shared" si="14"/>
        <v>0</v>
      </c>
      <c r="AK52" s="152"/>
      <c r="AL52" s="113"/>
      <c r="AM52" s="89"/>
      <c r="AN52" s="89"/>
      <c r="AO52" s="89"/>
      <c r="AP52" s="89"/>
      <c r="AQ52" s="89"/>
      <c r="AR52" s="89"/>
    </row>
    <row r="53" spans="1:44" x14ac:dyDescent="0.2">
      <c r="A53" s="165"/>
      <c r="B53" s="185" t="str">
        <f>ctArbeitsgebiete!A21</f>
        <v>A13</v>
      </c>
      <c r="C53" s="186" t="str">
        <f>IF(ctArbeitsgebiete!B21&lt;&gt;"",ctArbeitsgebiete!B21,"")</f>
        <v/>
      </c>
      <c r="D53" s="187"/>
      <c r="E53" s="913"/>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322"/>
      <c r="AJ53" s="188">
        <f t="shared" si="14"/>
        <v>0</v>
      </c>
      <c r="AK53" s="152"/>
      <c r="AL53" s="113"/>
      <c r="AM53" s="89"/>
      <c r="AN53" s="89"/>
      <c r="AO53" s="89"/>
      <c r="AP53" s="89"/>
      <c r="AQ53" s="89"/>
      <c r="AR53" s="89"/>
    </row>
    <row r="54" spans="1:44" x14ac:dyDescent="0.2">
      <c r="A54" s="165"/>
      <c r="B54" s="185" t="str">
        <f>ctArbeitsgebiete!A22</f>
        <v>A14</v>
      </c>
      <c r="C54" s="186" t="str">
        <f>IF(ctArbeitsgebiete!B22&lt;&gt;"",ctArbeitsgebiete!B22,"")</f>
        <v/>
      </c>
      <c r="D54" s="187"/>
      <c r="E54" s="913"/>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322"/>
      <c r="AJ54" s="188">
        <f t="shared" si="14"/>
        <v>0</v>
      </c>
      <c r="AK54" s="152"/>
      <c r="AL54" s="113"/>
      <c r="AM54" s="89"/>
      <c r="AN54" s="89"/>
      <c r="AO54" s="89"/>
      <c r="AP54" s="89"/>
      <c r="AQ54" s="89"/>
      <c r="AR54" s="89"/>
    </row>
    <row r="55" spans="1:44" x14ac:dyDescent="0.2">
      <c r="A55" s="165"/>
      <c r="B55" s="185" t="str">
        <f>ctArbeitsgebiete!A23</f>
        <v>A15</v>
      </c>
      <c r="C55" s="186" t="str">
        <f>IF(ctArbeitsgebiete!B23&lt;&gt;"",ctArbeitsgebiete!B23,"")</f>
        <v/>
      </c>
      <c r="D55" s="187"/>
      <c r="E55" s="913"/>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322"/>
      <c r="AJ55" s="188">
        <f t="shared" si="14"/>
        <v>0</v>
      </c>
      <c r="AK55" s="152"/>
      <c r="AL55" s="113"/>
      <c r="AM55" s="89"/>
      <c r="AN55" s="89"/>
      <c r="AO55" s="89"/>
      <c r="AP55" s="89"/>
      <c r="AQ55" s="89"/>
      <c r="AR55" s="89"/>
    </row>
    <row r="56" spans="1:44" x14ac:dyDescent="0.2">
      <c r="A56" s="165"/>
      <c r="B56" s="189" t="str">
        <f>ctArbeitsgebiete!A24</f>
        <v>A16</v>
      </c>
      <c r="C56" s="190" t="str">
        <f>IF(ctArbeitsgebiete!B24&lt;&gt;"",ctArbeitsgebiete!B24,"")</f>
        <v/>
      </c>
      <c r="D56" s="191"/>
      <c r="E56" s="914"/>
      <c r="F56" s="915"/>
      <c r="G56" s="915"/>
      <c r="H56" s="915"/>
      <c r="I56" s="915"/>
      <c r="J56" s="915"/>
      <c r="K56" s="915"/>
      <c r="L56" s="915"/>
      <c r="M56" s="915"/>
      <c r="N56" s="915"/>
      <c r="O56" s="915"/>
      <c r="P56" s="915"/>
      <c r="Q56" s="915"/>
      <c r="R56" s="915"/>
      <c r="S56" s="915"/>
      <c r="T56" s="915"/>
      <c r="U56" s="915"/>
      <c r="V56" s="915"/>
      <c r="W56" s="915"/>
      <c r="X56" s="915"/>
      <c r="Y56" s="915"/>
      <c r="Z56" s="915"/>
      <c r="AA56" s="915"/>
      <c r="AB56" s="915"/>
      <c r="AC56" s="915"/>
      <c r="AD56" s="915"/>
      <c r="AE56" s="915"/>
      <c r="AF56" s="915"/>
      <c r="AG56" s="915"/>
      <c r="AH56" s="915"/>
      <c r="AI56" s="916"/>
      <c r="AJ56" s="192">
        <f t="shared" si="14"/>
        <v>0</v>
      </c>
      <c r="AK56" s="912"/>
      <c r="AL56" s="113"/>
      <c r="AM56" s="89"/>
      <c r="AN56" s="89"/>
      <c r="AO56" s="89"/>
      <c r="AP56" s="89"/>
      <c r="AQ56" s="89"/>
      <c r="AR56" s="89"/>
    </row>
    <row r="57" spans="1:44" x14ac:dyDescent="0.2">
      <c r="A57" s="165"/>
      <c r="B57" s="1066" t="str">
        <f>ctArbeitsgebiete!D9</f>
        <v>B01</v>
      </c>
      <c r="C57" s="1073" t="str">
        <f>IF(ctArbeitsgebiete!E9&lt;&gt;"",ctArbeitsgebiete!E9,"")</f>
        <v/>
      </c>
      <c r="D57" s="1074" t="str">
        <f>IF(ctArbeitsgebiete!F9&lt;&gt;"",ctArbeitsgebiete!F9,"")</f>
        <v/>
      </c>
      <c r="E57" s="1069"/>
      <c r="F57" s="1070"/>
      <c r="G57" s="1070"/>
      <c r="H57" s="1070"/>
      <c r="I57" s="1070"/>
      <c r="J57" s="1070"/>
      <c r="K57" s="1070"/>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0"/>
      <c r="AH57" s="1070"/>
      <c r="AI57" s="1071"/>
      <c r="AJ57" s="1075">
        <f t="shared" si="14"/>
        <v>0</v>
      </c>
      <c r="AK57" s="1060"/>
      <c r="AL57" s="113"/>
      <c r="AM57" s="89"/>
      <c r="AN57" s="89"/>
      <c r="AO57" s="89"/>
      <c r="AP57" s="89"/>
      <c r="AQ57" s="89"/>
      <c r="AR57" s="89"/>
    </row>
    <row r="58" spans="1:44" x14ac:dyDescent="0.2">
      <c r="A58" s="165"/>
      <c r="B58" s="185" t="str">
        <f>ctArbeitsgebiete!D10</f>
        <v>B02</v>
      </c>
      <c r="C58" s="193" t="str">
        <f>IF(ctArbeitsgebiete!E10&lt;&gt;"",ctArbeitsgebiete!E10,"")</f>
        <v/>
      </c>
      <c r="D58" s="194"/>
      <c r="E58" s="913"/>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322"/>
      <c r="AJ58" s="195">
        <f t="shared" si="14"/>
        <v>0</v>
      </c>
      <c r="AK58" s="152"/>
      <c r="AL58" s="113"/>
      <c r="AM58" s="89"/>
      <c r="AN58" s="89"/>
      <c r="AO58" s="89"/>
      <c r="AP58" s="89"/>
      <c r="AQ58" s="89"/>
      <c r="AR58" s="89"/>
    </row>
    <row r="59" spans="1:44" x14ac:dyDescent="0.2">
      <c r="A59" s="165"/>
      <c r="B59" s="185" t="str">
        <f>ctArbeitsgebiete!D11</f>
        <v>B03</v>
      </c>
      <c r="C59" s="193" t="str">
        <f>IF(ctArbeitsgebiete!E11&lt;&gt;"",ctArbeitsgebiete!E11,"")</f>
        <v/>
      </c>
      <c r="D59" s="194"/>
      <c r="E59" s="913"/>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322"/>
      <c r="AJ59" s="195">
        <f t="shared" si="14"/>
        <v>0</v>
      </c>
      <c r="AK59" s="152"/>
      <c r="AL59" s="113"/>
      <c r="AM59" s="89"/>
      <c r="AN59" s="89"/>
      <c r="AO59" s="89"/>
      <c r="AP59" s="89"/>
      <c r="AQ59" s="89"/>
      <c r="AR59" s="89"/>
    </row>
    <row r="60" spans="1:44" x14ac:dyDescent="0.2">
      <c r="A60" s="165"/>
      <c r="B60" s="185" t="str">
        <f>ctArbeitsgebiete!D12</f>
        <v>B04</v>
      </c>
      <c r="C60" s="193" t="str">
        <f>IF(ctArbeitsgebiete!E12&lt;&gt;"",ctArbeitsgebiete!E12,"")</f>
        <v/>
      </c>
      <c r="D60" s="194"/>
      <c r="E60" s="913"/>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322"/>
      <c r="AJ60" s="195">
        <f t="shared" si="14"/>
        <v>0</v>
      </c>
      <c r="AK60" s="152"/>
      <c r="AL60" s="113"/>
      <c r="AM60" s="89"/>
      <c r="AN60" s="89"/>
      <c r="AO60" s="89"/>
      <c r="AP60" s="89"/>
      <c r="AQ60" s="89"/>
      <c r="AR60" s="89"/>
    </row>
    <row r="61" spans="1:44" x14ac:dyDescent="0.2">
      <c r="A61" s="165"/>
      <c r="B61" s="185" t="str">
        <f>ctArbeitsgebiete!D13</f>
        <v>B05</v>
      </c>
      <c r="C61" s="193" t="str">
        <f>IF(ctArbeitsgebiete!E13&lt;&gt;"",ctArbeitsgebiete!E13,"")</f>
        <v/>
      </c>
      <c r="D61" s="194"/>
      <c r="E61" s="913"/>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322"/>
      <c r="AJ61" s="195">
        <f t="shared" si="14"/>
        <v>0</v>
      </c>
      <c r="AK61" s="152"/>
      <c r="AL61" s="113"/>
      <c r="AM61" s="89"/>
      <c r="AN61" s="89"/>
      <c r="AO61" s="89"/>
      <c r="AP61" s="89"/>
      <c r="AQ61" s="89"/>
      <c r="AR61" s="89"/>
    </row>
    <row r="62" spans="1:44" x14ac:dyDescent="0.2">
      <c r="A62" s="165"/>
      <c r="B62" s="185" t="str">
        <f>ctArbeitsgebiete!D14</f>
        <v>B06</v>
      </c>
      <c r="C62" s="193" t="str">
        <f>IF(ctArbeitsgebiete!E14&lt;&gt;"",ctArbeitsgebiete!E14,"")</f>
        <v/>
      </c>
      <c r="D62" s="194"/>
      <c r="E62" s="913"/>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322"/>
      <c r="AJ62" s="195">
        <f t="shared" si="14"/>
        <v>0</v>
      </c>
      <c r="AK62" s="152"/>
      <c r="AL62" s="113"/>
      <c r="AM62" s="89"/>
      <c r="AN62" s="89"/>
      <c r="AO62" s="89"/>
      <c r="AP62" s="89"/>
      <c r="AQ62" s="89"/>
      <c r="AR62" s="89"/>
    </row>
    <row r="63" spans="1:44" x14ac:dyDescent="0.2">
      <c r="A63" s="165"/>
      <c r="B63" s="185" t="str">
        <f>ctArbeitsgebiete!D15</f>
        <v>B07</v>
      </c>
      <c r="C63" s="193" t="str">
        <f>IF(ctArbeitsgebiete!E15&lt;&gt;"",ctArbeitsgebiete!E15,"")</f>
        <v/>
      </c>
      <c r="D63" s="194"/>
      <c r="E63" s="913"/>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322"/>
      <c r="AJ63" s="195">
        <f t="shared" si="14"/>
        <v>0</v>
      </c>
      <c r="AK63" s="152"/>
      <c r="AL63" s="113"/>
      <c r="AM63" s="89"/>
      <c r="AN63" s="89"/>
      <c r="AO63" s="89"/>
      <c r="AP63" s="89"/>
      <c r="AQ63" s="89"/>
      <c r="AR63" s="89"/>
    </row>
    <row r="64" spans="1:44" x14ac:dyDescent="0.2">
      <c r="A64" s="165"/>
      <c r="B64" s="185" t="str">
        <f>ctArbeitsgebiete!D16</f>
        <v>B08</v>
      </c>
      <c r="C64" s="193" t="str">
        <f>IF(ctArbeitsgebiete!E16&lt;&gt;"",ctArbeitsgebiete!E16,"")</f>
        <v/>
      </c>
      <c r="D64" s="194"/>
      <c r="E64" s="913"/>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322"/>
      <c r="AJ64" s="195">
        <f t="shared" si="14"/>
        <v>0</v>
      </c>
      <c r="AK64" s="152"/>
      <c r="AL64" s="113"/>
      <c r="AM64" s="89"/>
      <c r="AN64" s="89"/>
      <c r="AO64" s="89"/>
      <c r="AP64" s="89"/>
      <c r="AQ64" s="89"/>
      <c r="AR64" s="89"/>
    </row>
    <row r="65" spans="1:44" x14ac:dyDescent="0.2">
      <c r="A65" s="165"/>
      <c r="B65" s="185" t="str">
        <f>ctArbeitsgebiete!D17</f>
        <v>B09</v>
      </c>
      <c r="C65" s="193" t="str">
        <f>IF(ctArbeitsgebiete!E17&lt;&gt;"",ctArbeitsgebiete!E17,"")</f>
        <v/>
      </c>
      <c r="D65" s="194"/>
      <c r="E65" s="913"/>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322"/>
      <c r="AJ65" s="195">
        <f t="shared" si="14"/>
        <v>0</v>
      </c>
      <c r="AK65" s="152"/>
      <c r="AL65" s="113"/>
      <c r="AM65" s="89"/>
      <c r="AN65" s="89"/>
      <c r="AO65" s="89"/>
      <c r="AP65" s="89"/>
      <c r="AQ65" s="89"/>
      <c r="AR65" s="89"/>
    </row>
    <row r="66" spans="1:44" x14ac:dyDescent="0.2">
      <c r="A66" s="165"/>
      <c r="B66" s="185" t="str">
        <f>ctArbeitsgebiete!D18</f>
        <v>B10</v>
      </c>
      <c r="C66" s="193" t="str">
        <f>IF(ctArbeitsgebiete!E18&lt;&gt;"",ctArbeitsgebiete!E18,"")</f>
        <v/>
      </c>
      <c r="D66" s="194"/>
      <c r="E66" s="913"/>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322"/>
      <c r="AJ66" s="195">
        <f t="shared" si="14"/>
        <v>0</v>
      </c>
      <c r="AK66" s="152"/>
      <c r="AL66" s="113"/>
      <c r="AM66" s="89"/>
      <c r="AN66" s="89"/>
      <c r="AO66" s="89"/>
      <c r="AP66" s="89"/>
      <c r="AQ66" s="89"/>
      <c r="AR66" s="89"/>
    </row>
    <row r="67" spans="1:44" x14ac:dyDescent="0.2">
      <c r="A67" s="165"/>
      <c r="B67" s="185" t="str">
        <f>ctArbeitsgebiete!D19</f>
        <v>B11</v>
      </c>
      <c r="C67" s="193" t="str">
        <f>IF(ctArbeitsgebiete!E19&lt;&gt;"",ctArbeitsgebiete!E19,"")</f>
        <v/>
      </c>
      <c r="D67" s="194"/>
      <c r="E67" s="913"/>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322"/>
      <c r="AJ67" s="195">
        <f t="shared" si="14"/>
        <v>0</v>
      </c>
      <c r="AK67" s="152"/>
      <c r="AL67" s="113"/>
      <c r="AM67" s="89"/>
      <c r="AN67" s="89"/>
      <c r="AO67" s="89"/>
      <c r="AP67" s="89"/>
      <c r="AQ67" s="89"/>
      <c r="AR67" s="89"/>
    </row>
    <row r="68" spans="1:44" x14ac:dyDescent="0.2">
      <c r="A68" s="165"/>
      <c r="B68" s="189" t="str">
        <f>ctArbeitsgebiete!D20</f>
        <v>B12</v>
      </c>
      <c r="C68" s="196" t="str">
        <f>IF(ctArbeitsgebiete!E20&lt;&gt;"",ctArbeitsgebiete!E20,"")</f>
        <v/>
      </c>
      <c r="D68" s="197"/>
      <c r="E68" s="914"/>
      <c r="F68" s="915"/>
      <c r="G68" s="915"/>
      <c r="H68" s="915"/>
      <c r="I68" s="915"/>
      <c r="J68" s="915"/>
      <c r="K68" s="915"/>
      <c r="L68" s="915"/>
      <c r="M68" s="915"/>
      <c r="N68" s="915"/>
      <c r="O68" s="915"/>
      <c r="P68" s="915"/>
      <c r="Q68" s="915"/>
      <c r="R68" s="915"/>
      <c r="S68" s="915"/>
      <c r="T68" s="915"/>
      <c r="U68" s="915"/>
      <c r="V68" s="915"/>
      <c r="W68" s="915"/>
      <c r="X68" s="915"/>
      <c r="Y68" s="915"/>
      <c r="Z68" s="915"/>
      <c r="AA68" s="915"/>
      <c r="AB68" s="915"/>
      <c r="AC68" s="915"/>
      <c r="AD68" s="915"/>
      <c r="AE68" s="915"/>
      <c r="AF68" s="915"/>
      <c r="AG68" s="915"/>
      <c r="AH68" s="915"/>
      <c r="AI68" s="916"/>
      <c r="AJ68" s="198">
        <f t="shared" si="14"/>
        <v>0</v>
      </c>
      <c r="AK68" s="912"/>
      <c r="AL68" s="113"/>
      <c r="AM68" s="89"/>
      <c r="AN68" s="89"/>
      <c r="AO68" s="89"/>
      <c r="AP68" s="89"/>
      <c r="AQ68" s="89"/>
      <c r="AR68" s="89"/>
    </row>
    <row r="69" spans="1:44" x14ac:dyDescent="0.2">
      <c r="A69" s="165"/>
      <c r="B69" s="1066" t="str">
        <f>ctArbeitsgebiete!G9</f>
        <v>C01</v>
      </c>
      <c r="C69" s="1076" t="str">
        <f>IF(ctArbeitsgebiete!H9&lt;&gt;"",ctArbeitsgebiete!H9,"")</f>
        <v/>
      </c>
      <c r="D69" s="1077"/>
      <c r="E69" s="1069"/>
      <c r="F69" s="1070"/>
      <c r="G69" s="1070"/>
      <c r="H69" s="1070"/>
      <c r="I69" s="1070"/>
      <c r="J69" s="1070"/>
      <c r="K69" s="1070"/>
      <c r="L69" s="1070"/>
      <c r="M69" s="1070"/>
      <c r="N69" s="1070"/>
      <c r="O69" s="1070"/>
      <c r="P69" s="1070"/>
      <c r="Q69" s="1070"/>
      <c r="R69" s="1070"/>
      <c r="S69" s="1070"/>
      <c r="T69" s="1070"/>
      <c r="U69" s="1070"/>
      <c r="V69" s="1070"/>
      <c r="W69" s="1070"/>
      <c r="X69" s="1070"/>
      <c r="Y69" s="1070"/>
      <c r="Z69" s="1070"/>
      <c r="AA69" s="1070"/>
      <c r="AB69" s="1070"/>
      <c r="AC69" s="1070"/>
      <c r="AD69" s="1070"/>
      <c r="AE69" s="1070"/>
      <c r="AF69" s="1070"/>
      <c r="AG69" s="1070"/>
      <c r="AH69" s="1070"/>
      <c r="AI69" s="1071"/>
      <c r="AJ69" s="1078">
        <f t="shared" si="14"/>
        <v>0</v>
      </c>
      <c r="AK69" s="1060"/>
      <c r="AL69" s="113"/>
      <c r="AM69" s="89"/>
      <c r="AN69" s="89"/>
      <c r="AO69" s="89"/>
      <c r="AP69" s="89"/>
      <c r="AQ69" s="89"/>
      <c r="AR69" s="89"/>
    </row>
    <row r="70" spans="1:44" x14ac:dyDescent="0.2">
      <c r="A70" s="165"/>
      <c r="B70" s="185" t="str">
        <f>ctArbeitsgebiete!G10</f>
        <v>C02</v>
      </c>
      <c r="C70" s="199" t="str">
        <f>IF(ctArbeitsgebiete!H10&lt;&gt;"",ctArbeitsgebiete!H10,"")</f>
        <v/>
      </c>
      <c r="D70" s="200"/>
      <c r="E70" s="913"/>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322"/>
      <c r="AJ70" s="201">
        <f t="shared" si="14"/>
        <v>0</v>
      </c>
      <c r="AK70" s="152"/>
      <c r="AL70" s="113"/>
      <c r="AM70" s="89"/>
      <c r="AN70" s="89"/>
      <c r="AO70" s="89"/>
      <c r="AP70" s="89"/>
      <c r="AQ70" s="89"/>
      <c r="AR70" s="89"/>
    </row>
    <row r="71" spans="1:44" x14ac:dyDescent="0.2">
      <c r="A71" s="165"/>
      <c r="B71" s="185" t="str">
        <f>ctArbeitsgebiete!G11</f>
        <v>C03</v>
      </c>
      <c r="C71" s="199" t="str">
        <f>IF(ctArbeitsgebiete!H11&lt;&gt;"",ctArbeitsgebiete!H11,"")</f>
        <v/>
      </c>
      <c r="D71" s="200"/>
      <c r="E71" s="913"/>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322"/>
      <c r="AJ71" s="201">
        <f t="shared" si="14"/>
        <v>0</v>
      </c>
      <c r="AK71" s="152"/>
      <c r="AL71" s="113"/>
      <c r="AM71" s="89"/>
      <c r="AN71" s="89"/>
      <c r="AO71" s="89"/>
      <c r="AP71" s="89"/>
      <c r="AQ71" s="89"/>
      <c r="AR71" s="89"/>
    </row>
    <row r="72" spans="1:44" x14ac:dyDescent="0.2">
      <c r="A72" s="165"/>
      <c r="B72" s="185" t="str">
        <f>ctArbeitsgebiete!G12</f>
        <v>C04</v>
      </c>
      <c r="C72" s="199" t="str">
        <f>IF(ctArbeitsgebiete!H12&lt;&gt;"",ctArbeitsgebiete!H12,"")</f>
        <v/>
      </c>
      <c r="D72" s="200"/>
      <c r="E72" s="913"/>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322"/>
      <c r="AJ72" s="201">
        <f t="shared" si="14"/>
        <v>0</v>
      </c>
      <c r="AK72" s="152"/>
      <c r="AL72" s="113"/>
      <c r="AM72" s="89"/>
      <c r="AN72" s="89"/>
      <c r="AO72" s="89"/>
      <c r="AP72" s="89"/>
      <c r="AQ72" s="89"/>
      <c r="AR72" s="89"/>
    </row>
    <row r="73" spans="1:44" x14ac:dyDescent="0.2">
      <c r="A73" s="165"/>
      <c r="B73" s="185" t="str">
        <f>ctArbeitsgebiete!G13</f>
        <v>C05</v>
      </c>
      <c r="C73" s="199" t="str">
        <f>IF(ctArbeitsgebiete!H13&lt;&gt;"",ctArbeitsgebiete!H13,"")</f>
        <v/>
      </c>
      <c r="D73" s="200"/>
      <c r="E73" s="913"/>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322"/>
      <c r="AJ73" s="201">
        <f t="shared" si="14"/>
        <v>0</v>
      </c>
      <c r="AK73" s="152"/>
      <c r="AL73" s="113"/>
      <c r="AM73" s="89"/>
      <c r="AN73" s="89"/>
      <c r="AO73" s="89"/>
      <c r="AP73" s="89"/>
      <c r="AQ73" s="89"/>
      <c r="AR73" s="89"/>
    </row>
    <row r="74" spans="1:44" x14ac:dyDescent="0.2">
      <c r="A74" s="165"/>
      <c r="B74" s="185" t="str">
        <f>ctArbeitsgebiete!G14</f>
        <v>C06</v>
      </c>
      <c r="C74" s="199" t="str">
        <f>IF(ctArbeitsgebiete!H14&lt;&gt;"",ctArbeitsgebiete!H14,"")</f>
        <v/>
      </c>
      <c r="D74" s="200"/>
      <c r="E74" s="913"/>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322"/>
      <c r="AJ74" s="201">
        <f t="shared" si="14"/>
        <v>0</v>
      </c>
      <c r="AK74" s="152"/>
      <c r="AL74" s="113"/>
      <c r="AM74" s="89"/>
      <c r="AN74" s="89"/>
      <c r="AO74" s="89"/>
      <c r="AP74" s="89"/>
      <c r="AQ74" s="89"/>
      <c r="AR74" s="89"/>
    </row>
    <row r="75" spans="1:44" x14ac:dyDescent="0.2">
      <c r="A75" s="165"/>
      <c r="B75" s="185" t="str">
        <f>ctArbeitsgebiete!G15</f>
        <v>C07</v>
      </c>
      <c r="C75" s="199" t="str">
        <f>IF(ctArbeitsgebiete!H15&lt;&gt;"",ctArbeitsgebiete!H15,"")</f>
        <v/>
      </c>
      <c r="D75" s="200"/>
      <c r="E75" s="913"/>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322"/>
      <c r="AJ75" s="201">
        <f t="shared" si="14"/>
        <v>0</v>
      </c>
      <c r="AK75" s="152"/>
      <c r="AL75" s="113"/>
      <c r="AM75" s="89"/>
      <c r="AN75" s="89"/>
      <c r="AO75" s="89"/>
      <c r="AP75" s="89"/>
      <c r="AQ75" s="89"/>
      <c r="AR75" s="89"/>
    </row>
    <row r="76" spans="1:44" x14ac:dyDescent="0.2">
      <c r="A76" s="165"/>
      <c r="B76" s="189" t="str">
        <f>ctArbeitsgebiete!G16</f>
        <v>C08</v>
      </c>
      <c r="C76" s="202" t="str">
        <f>IF(ctArbeitsgebiete!H16&lt;&gt;"",ctArbeitsgebiete!H16,"")</f>
        <v/>
      </c>
      <c r="D76" s="203"/>
      <c r="E76" s="914"/>
      <c r="F76" s="915"/>
      <c r="G76" s="915"/>
      <c r="H76" s="915"/>
      <c r="I76" s="915"/>
      <c r="J76" s="915"/>
      <c r="K76" s="915"/>
      <c r="L76" s="915"/>
      <c r="M76" s="915"/>
      <c r="N76" s="915"/>
      <c r="O76" s="915"/>
      <c r="P76" s="915"/>
      <c r="Q76" s="915"/>
      <c r="R76" s="915"/>
      <c r="S76" s="915"/>
      <c r="T76" s="915"/>
      <c r="U76" s="915"/>
      <c r="V76" s="915"/>
      <c r="W76" s="915"/>
      <c r="X76" s="915"/>
      <c r="Y76" s="915"/>
      <c r="Z76" s="915"/>
      <c r="AA76" s="915"/>
      <c r="AB76" s="915"/>
      <c r="AC76" s="915"/>
      <c r="AD76" s="915"/>
      <c r="AE76" s="915"/>
      <c r="AF76" s="915"/>
      <c r="AG76" s="915"/>
      <c r="AH76" s="915"/>
      <c r="AI76" s="916"/>
      <c r="AJ76" s="204">
        <f t="shared" si="14"/>
        <v>0</v>
      </c>
      <c r="AK76" s="912"/>
      <c r="AL76" s="113"/>
      <c r="AM76" s="89"/>
      <c r="AN76" s="89"/>
      <c r="AO76" s="89"/>
      <c r="AP76" s="89"/>
      <c r="AQ76" s="89"/>
      <c r="AR76" s="89"/>
    </row>
    <row r="77" spans="1:44" x14ac:dyDescent="0.2">
      <c r="A77" s="165"/>
      <c r="B77" s="1066" t="str">
        <f>ctArbeitsgebiete!J9</f>
        <v>D01</v>
      </c>
      <c r="C77" s="1079" t="str">
        <f>IF(ctArbeitsgebiete!K9&lt;&gt;"",ctArbeitsgebiete!K9,"")</f>
        <v>DAG</v>
      </c>
      <c r="D77" s="1080"/>
      <c r="E77" s="1069"/>
      <c r="F77" s="1070"/>
      <c r="G77" s="1070"/>
      <c r="H77" s="1070"/>
      <c r="I77" s="1070"/>
      <c r="J77" s="1070"/>
      <c r="K77" s="1070"/>
      <c r="L77" s="1070"/>
      <c r="M77" s="1070"/>
      <c r="N77" s="1070"/>
      <c r="O77" s="1070"/>
      <c r="P77" s="1070"/>
      <c r="Q77" s="1070"/>
      <c r="R77" s="1070"/>
      <c r="S77" s="1070"/>
      <c r="T77" s="1070"/>
      <c r="U77" s="1070"/>
      <c r="V77" s="1070"/>
      <c r="W77" s="1070"/>
      <c r="X77" s="1070"/>
      <c r="Y77" s="1070"/>
      <c r="Z77" s="1070"/>
      <c r="AA77" s="1070"/>
      <c r="AB77" s="1070"/>
      <c r="AC77" s="1070"/>
      <c r="AD77" s="1070"/>
      <c r="AE77" s="1070"/>
      <c r="AF77" s="1070"/>
      <c r="AG77" s="1070"/>
      <c r="AH77" s="1070"/>
      <c r="AI77" s="1071"/>
      <c r="AJ77" s="1059">
        <f t="shared" si="14"/>
        <v>0</v>
      </c>
      <c r="AK77" s="1060"/>
      <c r="AL77" s="113"/>
      <c r="AM77" s="89"/>
      <c r="AN77" s="89"/>
      <c r="AO77" s="89"/>
      <c r="AP77" s="89"/>
      <c r="AQ77" s="89"/>
      <c r="AR77" s="89"/>
    </row>
    <row r="78" spans="1:44" x14ac:dyDescent="0.2">
      <c r="A78" s="165"/>
      <c r="B78" s="185" t="str">
        <f>ctArbeitsgebiete!J10</f>
        <v>D02</v>
      </c>
      <c r="C78" s="205" t="str">
        <f>IF(ctArbeitsgebiete!K10&lt;&gt;"",ctArbeitsgebiete!K10,"")</f>
        <v>Betriebsausflug</v>
      </c>
      <c r="D78" s="206"/>
      <c r="E78" s="913"/>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322"/>
      <c r="AJ78" s="174">
        <f t="shared" si="14"/>
        <v>0</v>
      </c>
      <c r="AK78" s="152"/>
      <c r="AL78" s="113"/>
      <c r="AM78" s="89"/>
      <c r="AN78" s="89"/>
      <c r="AO78" s="89"/>
      <c r="AP78" s="89"/>
      <c r="AQ78" s="89"/>
      <c r="AR78" s="89"/>
    </row>
    <row r="79" spans="1:44" x14ac:dyDescent="0.2">
      <c r="A79" s="165"/>
      <c r="B79" s="185" t="str">
        <f>ctArbeitsgebiete!J11</f>
        <v>D03</v>
      </c>
      <c r="C79" s="205" t="str">
        <f>IF(ctArbeitsgebiete!K11&lt;&gt;"",ctArbeitsgebiete!K11,"")</f>
        <v/>
      </c>
      <c r="D79" s="206"/>
      <c r="E79" s="913"/>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322"/>
      <c r="AJ79" s="174">
        <f t="shared" si="14"/>
        <v>0</v>
      </c>
      <c r="AK79" s="152"/>
      <c r="AL79" s="113"/>
      <c r="AM79" s="89"/>
      <c r="AN79" s="89"/>
      <c r="AO79" s="89"/>
      <c r="AP79" s="89"/>
      <c r="AQ79" s="89"/>
      <c r="AR79" s="89"/>
    </row>
    <row r="80" spans="1:44" x14ac:dyDescent="0.2">
      <c r="A80" s="165"/>
      <c r="B80" s="185" t="str">
        <f>ctArbeitsgebiete!J12</f>
        <v>D04</v>
      </c>
      <c r="C80" s="205" t="str">
        <f>IF(ctArbeitsgebiete!K12&lt;&gt;"",ctArbeitsgebiete!K12,"")</f>
        <v/>
      </c>
      <c r="D80" s="206"/>
      <c r="E80" s="913"/>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322"/>
      <c r="AJ80" s="174">
        <f t="shared" si="14"/>
        <v>0</v>
      </c>
      <c r="AK80" s="152"/>
      <c r="AL80" s="113"/>
      <c r="AM80" s="89"/>
      <c r="AN80" s="89"/>
      <c r="AO80" s="89"/>
      <c r="AP80" s="89"/>
      <c r="AQ80" s="89"/>
      <c r="AR80" s="89"/>
    </row>
    <row r="81" spans="1:44" x14ac:dyDescent="0.2">
      <c r="A81" s="165"/>
      <c r="B81" s="185" t="str">
        <f>ctArbeitsgebiete!J13</f>
        <v>D05</v>
      </c>
      <c r="C81" s="205" t="str">
        <f>IF(ctArbeitsgebiete!K13&lt;&gt;"",ctArbeitsgebiete!K13,"")</f>
        <v/>
      </c>
      <c r="D81" s="206"/>
      <c r="E81" s="913"/>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322"/>
      <c r="AJ81" s="174">
        <f t="shared" si="14"/>
        <v>0</v>
      </c>
      <c r="AK81" s="152"/>
      <c r="AL81" s="113"/>
      <c r="AM81" s="89"/>
      <c r="AN81" s="89"/>
      <c r="AO81" s="89"/>
      <c r="AP81" s="89"/>
      <c r="AQ81" s="89"/>
      <c r="AR81" s="89"/>
    </row>
    <row r="82" spans="1:44" x14ac:dyDescent="0.2">
      <c r="A82" s="165"/>
      <c r="B82" s="185" t="str">
        <f>ctArbeitsgebiete!J14</f>
        <v>D06</v>
      </c>
      <c r="C82" s="205" t="str">
        <f>IF(ctArbeitsgebiete!K14&lt;&gt;"",ctArbeitsgebiete!K14,"")</f>
        <v/>
      </c>
      <c r="D82" s="206"/>
      <c r="E82" s="913"/>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322"/>
      <c r="AJ82" s="174">
        <f t="shared" si="14"/>
        <v>0</v>
      </c>
      <c r="AK82" s="152"/>
      <c r="AL82" s="113"/>
      <c r="AM82" s="89"/>
      <c r="AN82" s="89"/>
      <c r="AO82" s="89"/>
      <c r="AP82" s="89"/>
      <c r="AQ82" s="89"/>
      <c r="AR82" s="89"/>
    </row>
    <row r="83" spans="1:44" x14ac:dyDescent="0.2">
      <c r="A83" s="165"/>
      <c r="B83" s="185" t="str">
        <f>ctArbeitsgebiete!J15</f>
        <v>D07</v>
      </c>
      <c r="C83" s="205" t="str">
        <f>IF(ctArbeitsgebiete!K15&lt;&gt;"",ctArbeitsgebiete!K15,"")</f>
        <v/>
      </c>
      <c r="D83" s="206"/>
      <c r="E83" s="913"/>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322"/>
      <c r="AJ83" s="174">
        <f t="shared" si="14"/>
        <v>0</v>
      </c>
      <c r="AK83" s="152"/>
      <c r="AL83" s="113"/>
      <c r="AM83" s="89"/>
      <c r="AN83" s="89"/>
      <c r="AO83" s="89"/>
      <c r="AP83" s="89"/>
      <c r="AQ83" s="89"/>
      <c r="AR83" s="89"/>
    </row>
    <row r="84" spans="1:44" ht="13.5" thickBot="1" x14ac:dyDescent="0.25">
      <c r="A84" s="165"/>
      <c r="B84" s="189" t="str">
        <f>ctArbeitsgebiete!J16</f>
        <v>D08</v>
      </c>
      <c r="C84" s="207" t="str">
        <f>IF(ctArbeitsgebiete!K16&lt;&gt;"",ctArbeitsgebiete!K16,"")</f>
        <v/>
      </c>
      <c r="D84" s="208"/>
      <c r="E84" s="925"/>
      <c r="F84" s="926"/>
      <c r="G84" s="926"/>
      <c r="H84" s="926"/>
      <c r="I84" s="926"/>
      <c r="J84" s="926"/>
      <c r="K84" s="926"/>
      <c r="L84" s="926"/>
      <c r="M84" s="926"/>
      <c r="N84" s="926"/>
      <c r="O84" s="926"/>
      <c r="P84" s="926"/>
      <c r="Q84" s="926"/>
      <c r="R84" s="926"/>
      <c r="S84" s="926"/>
      <c r="T84" s="926"/>
      <c r="U84" s="926"/>
      <c r="V84" s="926"/>
      <c r="W84" s="926"/>
      <c r="X84" s="926"/>
      <c r="Y84" s="926"/>
      <c r="Z84" s="926"/>
      <c r="AA84" s="926"/>
      <c r="AB84" s="926"/>
      <c r="AC84" s="926"/>
      <c r="AD84" s="926"/>
      <c r="AE84" s="926"/>
      <c r="AF84" s="926"/>
      <c r="AG84" s="926"/>
      <c r="AH84" s="926"/>
      <c r="AI84" s="927"/>
      <c r="AJ84" s="142">
        <f t="shared" si="14"/>
        <v>0</v>
      </c>
      <c r="AK84" s="912"/>
      <c r="AL84" s="113"/>
      <c r="AM84" s="89"/>
      <c r="AN84" s="89"/>
      <c r="AO84" s="89"/>
      <c r="AP84" s="89"/>
      <c r="AQ84" s="89"/>
      <c r="AR84" s="89"/>
    </row>
    <row r="85" spans="1:44" ht="22.5" hidden="1" customHeight="1" outlineLevel="1" thickBot="1" x14ac:dyDescent="0.25">
      <c r="A85" s="8" t="s">
        <v>424</v>
      </c>
      <c r="B85" s="928"/>
      <c r="C85" s="929" t="s">
        <v>433</v>
      </c>
      <c r="D85" s="930"/>
      <c r="E85" s="931"/>
      <c r="F85" s="932"/>
      <c r="G85" s="932"/>
      <c r="H85" s="932"/>
      <c r="I85" s="932"/>
      <c r="J85" s="932"/>
      <c r="K85" s="932"/>
      <c r="L85" s="932"/>
      <c r="M85" s="932"/>
      <c r="N85" s="932"/>
      <c r="O85" s="932"/>
      <c r="P85" s="932"/>
      <c r="Q85" s="932"/>
      <c r="R85" s="932"/>
      <c r="S85" s="932"/>
      <c r="T85" s="932"/>
      <c r="U85" s="932"/>
      <c r="V85" s="932"/>
      <c r="W85" s="932"/>
      <c r="X85" s="932"/>
      <c r="Y85" s="932"/>
      <c r="Z85" s="932"/>
      <c r="AA85" s="932"/>
      <c r="AB85" s="932"/>
      <c r="AC85" s="932"/>
      <c r="AD85" s="932"/>
      <c r="AE85" s="932"/>
      <c r="AF85" s="932"/>
      <c r="AG85" s="932"/>
      <c r="AH85" s="932"/>
      <c r="AI85" s="933"/>
      <c r="AJ85" s="1081">
        <f>SUM(E85:AI85)</f>
        <v>0</v>
      </c>
      <c r="AK85" s="990">
        <f>ROUND(B85+D85+AJ85,8)</f>
        <v>0</v>
      </c>
      <c r="AL85" s="141" t="s">
        <v>434</v>
      </c>
      <c r="AM85" s="91"/>
      <c r="AN85" s="113"/>
      <c r="AO85" s="89"/>
      <c r="AP85" s="89"/>
      <c r="AQ85" s="89"/>
      <c r="AR85" s="89"/>
    </row>
    <row r="86" spans="1:44" ht="15" hidden="1" customHeight="1" outlineLevel="1" x14ac:dyDescent="0.2">
      <c r="A86" s="8" t="s">
        <v>424</v>
      </c>
      <c r="B86" s="934"/>
      <c r="C86" s="935" t="s">
        <v>435</v>
      </c>
      <c r="D86" s="936"/>
      <c r="E86" s="937"/>
      <c r="F86" s="938"/>
      <c r="G86" s="938"/>
      <c r="H86" s="938"/>
      <c r="I86" s="938"/>
      <c r="J86" s="938"/>
      <c r="K86" s="938"/>
      <c r="L86" s="938"/>
      <c r="M86" s="938"/>
      <c r="N86" s="938"/>
      <c r="O86" s="938"/>
      <c r="P86" s="938"/>
      <c r="Q86" s="938"/>
      <c r="R86" s="938"/>
      <c r="S86" s="938"/>
      <c r="T86" s="938"/>
      <c r="U86" s="938"/>
      <c r="V86" s="938"/>
      <c r="W86" s="938"/>
      <c r="X86" s="938"/>
      <c r="Y86" s="938"/>
      <c r="Z86" s="938"/>
      <c r="AA86" s="938"/>
      <c r="AB86" s="938"/>
      <c r="AC86" s="938"/>
      <c r="AD86" s="938"/>
      <c r="AE86" s="938"/>
      <c r="AF86" s="938"/>
      <c r="AG86" s="938"/>
      <c r="AH86" s="938"/>
      <c r="AI86" s="939"/>
      <c r="AK86" s="210"/>
      <c r="AL86" s="141" t="s">
        <v>437</v>
      </c>
      <c r="AM86" s="89"/>
      <c r="AN86" s="113"/>
      <c r="AO86" s="89"/>
      <c r="AP86" s="89"/>
      <c r="AQ86" s="89"/>
      <c r="AR86" s="89"/>
    </row>
    <row r="87" spans="1:44" ht="15" hidden="1" customHeight="1" outlineLevel="1" x14ac:dyDescent="0.2">
      <c r="A87" s="8" t="s">
        <v>424</v>
      </c>
      <c r="B87" s="934"/>
      <c r="C87" s="934" t="str">
        <f>"Zuschlagsber. = " &amp; Eingabeblatt!$D$7</f>
        <v>Zuschlagsber. = NEIN</v>
      </c>
      <c r="D87" s="936"/>
      <c r="E87" s="940"/>
      <c r="F87" s="941"/>
      <c r="G87" s="941"/>
      <c r="H87" s="941"/>
      <c r="I87" s="941"/>
      <c r="J87" s="941"/>
      <c r="K87" s="941"/>
      <c r="L87" s="941"/>
      <c r="M87" s="941"/>
      <c r="N87" s="941"/>
      <c r="O87" s="941"/>
      <c r="P87" s="941"/>
      <c r="Q87" s="941"/>
      <c r="R87" s="941"/>
      <c r="S87" s="941"/>
      <c r="T87" s="941"/>
      <c r="U87" s="941"/>
      <c r="V87" s="941"/>
      <c r="W87" s="941"/>
      <c r="X87" s="941"/>
      <c r="Y87" s="941"/>
      <c r="Z87" s="941"/>
      <c r="AA87" s="941"/>
      <c r="AB87" s="941"/>
      <c r="AC87" s="941"/>
      <c r="AD87" s="941"/>
      <c r="AE87" s="941"/>
      <c r="AF87" s="941"/>
      <c r="AG87" s="941"/>
      <c r="AH87" s="941"/>
      <c r="AI87" s="942"/>
      <c r="AK87" s="210"/>
      <c r="AL87" s="113"/>
      <c r="AM87" s="113"/>
      <c r="AN87" s="113"/>
      <c r="AO87" s="89"/>
      <c r="AP87" s="89"/>
      <c r="AQ87" s="89"/>
      <c r="AR87" s="89"/>
    </row>
    <row r="88" spans="1:44" hidden="1" outlineLevel="1" collapsed="1" x14ac:dyDescent="0.2">
      <c r="E88" s="323"/>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5"/>
      <c r="AK88" s="211"/>
      <c r="AL88" s="113"/>
      <c r="AM88" s="89"/>
      <c r="AN88" s="113"/>
      <c r="AO88" s="89"/>
      <c r="AP88" s="89"/>
      <c r="AQ88" s="89"/>
      <c r="AR88" s="89"/>
    </row>
    <row r="89" spans="1:44" ht="12.75" hidden="1" customHeight="1" outlineLevel="1" x14ac:dyDescent="0.2">
      <c r="C89" s="212"/>
      <c r="E89" s="326"/>
      <c r="F89" s="324"/>
      <c r="G89" s="324"/>
      <c r="H89" s="324"/>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5"/>
      <c r="AK89" s="210"/>
      <c r="AL89" s="113"/>
      <c r="AM89" s="89"/>
      <c r="AN89" s="89"/>
      <c r="AO89" s="89"/>
      <c r="AP89" s="89"/>
      <c r="AQ89" s="89"/>
      <c r="AR89" s="89"/>
    </row>
    <row r="90" spans="1:44" ht="28.5" hidden="1" customHeight="1" outlineLevel="1" x14ac:dyDescent="0.2">
      <c r="C90" s="213" t="s">
        <v>439</v>
      </c>
      <c r="E90" s="326"/>
      <c r="F90" s="324"/>
      <c r="G90" s="324"/>
      <c r="H90" s="324"/>
      <c r="I90" s="324"/>
      <c r="J90" s="324"/>
      <c r="K90" s="327"/>
      <c r="L90" s="327"/>
      <c r="M90" s="327"/>
      <c r="N90" s="324"/>
      <c r="O90" s="324"/>
      <c r="P90" s="324"/>
      <c r="Q90" s="324"/>
      <c r="R90" s="324"/>
      <c r="S90" s="324"/>
      <c r="T90" s="324"/>
      <c r="U90" s="324"/>
      <c r="V90" s="324"/>
      <c r="W90" s="324"/>
      <c r="X90" s="324"/>
      <c r="Y90" s="324"/>
      <c r="Z90" s="324"/>
      <c r="AA90" s="324"/>
      <c r="AB90" s="324"/>
      <c r="AC90" s="324"/>
      <c r="AD90" s="324"/>
      <c r="AE90" s="324"/>
      <c r="AF90" s="324"/>
      <c r="AG90" s="324"/>
      <c r="AH90" s="324"/>
      <c r="AI90" s="325"/>
      <c r="AK90" s="210"/>
      <c r="AL90" s="113"/>
      <c r="AM90" s="89"/>
      <c r="AN90" s="89"/>
      <c r="AO90" s="89"/>
      <c r="AP90" s="89"/>
      <c r="AQ90" s="89"/>
      <c r="AR90" s="89"/>
    </row>
    <row r="91" spans="1:44" ht="28.5" hidden="1" customHeight="1" outlineLevel="1" thickBot="1" x14ac:dyDescent="0.3">
      <c r="C91" s="214" t="s">
        <v>440</v>
      </c>
      <c r="D91" s="215"/>
      <c r="E91" s="236"/>
      <c r="F91" s="327"/>
      <c r="G91" s="327"/>
      <c r="H91" s="327"/>
      <c r="I91" s="327"/>
      <c r="J91" s="327"/>
      <c r="K91" s="327"/>
      <c r="L91" s="327"/>
      <c r="M91" s="327"/>
      <c r="N91" s="327"/>
      <c r="O91" s="327"/>
      <c r="P91" s="327"/>
      <c r="Q91" s="327"/>
      <c r="R91" s="327"/>
      <c r="S91" s="327"/>
      <c r="T91" s="327"/>
      <c r="U91" s="328"/>
      <c r="V91" s="327"/>
      <c r="W91" s="327"/>
      <c r="X91" s="327"/>
      <c r="Y91" s="327"/>
      <c r="Z91" s="327"/>
      <c r="AA91" s="327"/>
      <c r="AB91" s="327"/>
      <c r="AC91" s="327"/>
      <c r="AD91" s="327"/>
      <c r="AE91" s="327"/>
      <c r="AF91" s="328"/>
      <c r="AG91" s="327"/>
      <c r="AH91" s="943"/>
      <c r="AI91" s="329"/>
      <c r="AJ91" s="88"/>
      <c r="AK91" s="216"/>
      <c r="AL91" s="113"/>
      <c r="AM91" s="89"/>
      <c r="AN91" s="89"/>
      <c r="AO91" s="89"/>
      <c r="AP91" s="89"/>
      <c r="AQ91" s="89"/>
      <c r="AR91" s="89"/>
    </row>
    <row r="92" spans="1:44" ht="28.5" hidden="1" customHeight="1" outlineLevel="1" thickBot="1" x14ac:dyDescent="0.25">
      <c r="C92" s="217" t="s">
        <v>443</v>
      </c>
      <c r="E92" s="326"/>
      <c r="F92" s="324"/>
      <c r="G92" s="324"/>
      <c r="H92" s="324"/>
      <c r="I92" s="330"/>
      <c r="J92" s="324"/>
      <c r="K92" s="327"/>
      <c r="L92" s="327"/>
      <c r="M92" s="327"/>
      <c r="N92" s="324"/>
      <c r="O92" s="324"/>
      <c r="P92" s="324"/>
      <c r="Q92" s="324"/>
      <c r="R92" s="324"/>
      <c r="S92" s="324"/>
      <c r="T92" s="324"/>
      <c r="U92" s="324"/>
      <c r="V92" s="324"/>
      <c r="W92" s="324"/>
      <c r="X92" s="324"/>
      <c r="Y92" s="324"/>
      <c r="Z92" s="324"/>
      <c r="AA92" s="324"/>
      <c r="AB92" s="324"/>
      <c r="AC92" s="324"/>
      <c r="AD92" s="324"/>
      <c r="AE92" s="324"/>
      <c r="AF92" s="324"/>
      <c r="AG92" s="324"/>
      <c r="AH92" s="324"/>
      <c r="AI92" s="325"/>
      <c r="AK92" s="210"/>
      <c r="AL92" s="113"/>
      <c r="AM92" s="89"/>
      <c r="AN92" s="89"/>
      <c r="AO92" s="89"/>
      <c r="AP92" s="89"/>
      <c r="AQ92" s="89"/>
      <c r="AR92" s="89"/>
    </row>
    <row r="93" spans="1:44" ht="28.5" hidden="1" customHeight="1" outlineLevel="1" x14ac:dyDescent="0.2">
      <c r="C93" s="217"/>
      <c r="E93" s="326"/>
      <c r="F93" s="324"/>
      <c r="G93" s="324"/>
      <c r="H93" s="324"/>
      <c r="I93" s="324"/>
      <c r="J93" s="324"/>
      <c r="K93" s="327"/>
      <c r="L93" s="327"/>
      <c r="M93" s="327"/>
      <c r="N93" s="324"/>
      <c r="O93" s="324"/>
      <c r="P93" s="324"/>
      <c r="Q93" s="324"/>
      <c r="R93" s="324"/>
      <c r="S93" s="324"/>
      <c r="T93" s="324"/>
      <c r="U93" s="324"/>
      <c r="V93" s="324"/>
      <c r="W93" s="324"/>
      <c r="X93" s="324"/>
      <c r="Y93" s="324"/>
      <c r="Z93" s="324"/>
      <c r="AA93" s="324"/>
      <c r="AB93" s="324"/>
      <c r="AC93" s="324"/>
      <c r="AD93" s="324"/>
      <c r="AE93" s="324"/>
      <c r="AF93" s="324"/>
      <c r="AG93" s="324"/>
      <c r="AH93" s="324"/>
      <c r="AI93" s="325"/>
      <c r="AK93" s="210"/>
      <c r="AL93" s="113"/>
      <c r="AM93" s="89"/>
      <c r="AN93" s="89"/>
      <c r="AO93" s="89"/>
      <c r="AP93" s="89"/>
      <c r="AQ93" s="89"/>
      <c r="AR93" s="89"/>
    </row>
    <row r="94" spans="1:44" collapsed="1" x14ac:dyDescent="0.2">
      <c r="A94" s="165"/>
      <c r="B94" s="185"/>
      <c r="C94" s="340" t="str">
        <f>IF(ctArbeitsgebiete!H20&lt;&gt;"",ctArbeitsgebiete!H20,"")</f>
        <v/>
      </c>
      <c r="D94" s="334"/>
      <c r="E94" s="944"/>
      <c r="F94" s="945"/>
      <c r="G94" s="945"/>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6"/>
      <c r="AJ94" s="1082">
        <f>SUM(E94:AI94)</f>
        <v>0</v>
      </c>
      <c r="AK94" s="152"/>
      <c r="AL94" s="113"/>
      <c r="AM94" s="89"/>
      <c r="AN94" s="89"/>
      <c r="AO94" s="89"/>
      <c r="AP94" s="89"/>
      <c r="AQ94" s="89"/>
      <c r="AR94" s="89"/>
    </row>
    <row r="95" spans="1:44" x14ac:dyDescent="0.2">
      <c r="A95" s="165"/>
      <c r="B95" s="185"/>
      <c r="C95" s="340" t="str">
        <f>IF(ctArbeitsgebiete!H21&lt;&gt;"",ctArbeitsgebiete!H21,"")</f>
        <v/>
      </c>
      <c r="D95" s="334"/>
      <c r="E95" s="944"/>
      <c r="F95" s="945"/>
      <c r="G95" s="945"/>
      <c r="H95" s="945"/>
      <c r="I95" s="945"/>
      <c r="J95" s="945"/>
      <c r="K95" s="945"/>
      <c r="L95" s="945"/>
      <c r="M95" s="945"/>
      <c r="N95" s="945"/>
      <c r="O95" s="945"/>
      <c r="P95" s="945"/>
      <c r="Q95" s="945"/>
      <c r="R95" s="945"/>
      <c r="S95" s="945"/>
      <c r="T95" s="945"/>
      <c r="U95" s="945"/>
      <c r="V95" s="945"/>
      <c r="W95" s="945"/>
      <c r="X95" s="945"/>
      <c r="Y95" s="945"/>
      <c r="Z95" s="945"/>
      <c r="AA95" s="945"/>
      <c r="AB95" s="945"/>
      <c r="AC95" s="945"/>
      <c r="AD95" s="945"/>
      <c r="AE95" s="945"/>
      <c r="AF95" s="945"/>
      <c r="AG95" s="945"/>
      <c r="AH95" s="945"/>
      <c r="AI95" s="946"/>
      <c r="AJ95" s="338">
        <f t="shared" ref="AJ95:AJ105" si="15">SUM(E95:AI95)</f>
        <v>0</v>
      </c>
      <c r="AK95" s="152"/>
      <c r="AL95" s="113"/>
      <c r="AM95" s="89"/>
      <c r="AN95" s="89"/>
      <c r="AO95" s="89"/>
      <c r="AP95" s="89"/>
      <c r="AQ95" s="89"/>
      <c r="AR95" s="89"/>
    </row>
    <row r="96" spans="1:44" x14ac:dyDescent="0.2">
      <c r="A96" s="165"/>
      <c r="B96" s="185"/>
      <c r="C96" s="340" t="str">
        <f>IF(ctArbeitsgebiete!H22&lt;&gt;"",ctArbeitsgebiete!H22,"")</f>
        <v/>
      </c>
      <c r="D96" s="334"/>
      <c r="E96" s="944"/>
      <c r="F96" s="945"/>
      <c r="G96" s="945"/>
      <c r="H96" s="945"/>
      <c r="I96" s="945"/>
      <c r="J96" s="945"/>
      <c r="K96" s="945"/>
      <c r="L96" s="945"/>
      <c r="M96" s="945"/>
      <c r="N96" s="945"/>
      <c r="O96" s="945"/>
      <c r="P96" s="945"/>
      <c r="Q96" s="945"/>
      <c r="R96" s="945"/>
      <c r="S96" s="945"/>
      <c r="T96" s="945"/>
      <c r="U96" s="945"/>
      <c r="V96" s="945"/>
      <c r="W96" s="945"/>
      <c r="X96" s="945"/>
      <c r="Y96" s="945"/>
      <c r="Z96" s="945"/>
      <c r="AA96" s="945"/>
      <c r="AB96" s="945"/>
      <c r="AC96" s="945"/>
      <c r="AD96" s="945"/>
      <c r="AE96" s="945"/>
      <c r="AF96" s="945"/>
      <c r="AG96" s="945"/>
      <c r="AH96" s="945"/>
      <c r="AI96" s="946"/>
      <c r="AJ96" s="338">
        <f t="shared" si="15"/>
        <v>0</v>
      </c>
      <c r="AK96" s="152"/>
      <c r="AL96" s="113"/>
      <c r="AM96" s="89"/>
      <c r="AN96" s="89"/>
      <c r="AO96" s="89"/>
      <c r="AP96" s="89"/>
      <c r="AQ96" s="89"/>
      <c r="AR96" s="89"/>
    </row>
    <row r="97" spans="1:44" x14ac:dyDescent="0.2">
      <c r="A97" s="165"/>
      <c r="B97" s="185"/>
      <c r="C97" s="340" t="str">
        <f>IF(ctArbeitsgebiete!H23&lt;&gt;"",ctArbeitsgebiete!H23,"")</f>
        <v/>
      </c>
      <c r="D97" s="334"/>
      <c r="E97" s="944"/>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6"/>
      <c r="AJ97" s="338">
        <f t="shared" si="15"/>
        <v>0</v>
      </c>
      <c r="AK97" s="152"/>
      <c r="AL97" s="113"/>
      <c r="AM97" s="89"/>
      <c r="AN97" s="89"/>
      <c r="AO97" s="89"/>
      <c r="AP97" s="89"/>
      <c r="AQ97" s="89"/>
      <c r="AR97" s="89"/>
    </row>
    <row r="98" spans="1:44" x14ac:dyDescent="0.2">
      <c r="A98" s="165"/>
      <c r="B98" s="185"/>
      <c r="C98" s="340" t="str">
        <f>IF(ctArbeitsgebiete!H24&lt;&gt;"",ctArbeitsgebiete!H24,"")</f>
        <v/>
      </c>
      <c r="D98" s="334"/>
      <c r="E98" s="944"/>
      <c r="F98" s="945"/>
      <c r="G98" s="945"/>
      <c r="H98" s="945"/>
      <c r="I98" s="945"/>
      <c r="J98" s="945"/>
      <c r="K98" s="945"/>
      <c r="L98" s="945"/>
      <c r="M98" s="945"/>
      <c r="N98" s="945"/>
      <c r="O98" s="945"/>
      <c r="P98" s="945"/>
      <c r="Q98" s="945"/>
      <c r="R98" s="945"/>
      <c r="S98" s="945"/>
      <c r="T98" s="945"/>
      <c r="U98" s="945"/>
      <c r="V98" s="945"/>
      <c r="W98" s="945"/>
      <c r="X98" s="945"/>
      <c r="Y98" s="945"/>
      <c r="Z98" s="945"/>
      <c r="AA98" s="945"/>
      <c r="AB98" s="945"/>
      <c r="AC98" s="945"/>
      <c r="AD98" s="945"/>
      <c r="AE98" s="945"/>
      <c r="AF98" s="945"/>
      <c r="AG98" s="945"/>
      <c r="AH98" s="945"/>
      <c r="AI98" s="946"/>
      <c r="AJ98" s="338">
        <f t="shared" si="15"/>
        <v>0</v>
      </c>
      <c r="AK98" s="152"/>
      <c r="AL98" s="113"/>
      <c r="AM98" s="89"/>
      <c r="AN98" s="89"/>
      <c r="AO98" s="89"/>
      <c r="AP98" s="89"/>
      <c r="AQ98" s="89"/>
      <c r="AR98" s="89"/>
    </row>
    <row r="99" spans="1:44" x14ac:dyDescent="0.2">
      <c r="A99" s="165"/>
      <c r="B99" s="185"/>
      <c r="C99" s="340" t="str">
        <f>IF(ctArbeitsgebiete!H25&lt;&gt;"",ctArbeitsgebiete!H25,"")</f>
        <v/>
      </c>
      <c r="D99" s="334"/>
      <c r="E99" s="944"/>
      <c r="F99" s="945"/>
      <c r="G99" s="945"/>
      <c r="H99" s="945"/>
      <c r="I99" s="945"/>
      <c r="J99" s="945"/>
      <c r="K99" s="945"/>
      <c r="L99" s="945"/>
      <c r="M99" s="945"/>
      <c r="N99" s="945"/>
      <c r="O99" s="945"/>
      <c r="P99" s="945"/>
      <c r="Q99" s="945"/>
      <c r="R99" s="945"/>
      <c r="S99" s="945"/>
      <c r="T99" s="945"/>
      <c r="U99" s="945"/>
      <c r="V99" s="945"/>
      <c r="W99" s="945"/>
      <c r="X99" s="945"/>
      <c r="Y99" s="945"/>
      <c r="Z99" s="945"/>
      <c r="AA99" s="945"/>
      <c r="AB99" s="945"/>
      <c r="AC99" s="945"/>
      <c r="AD99" s="945"/>
      <c r="AE99" s="945"/>
      <c r="AF99" s="945"/>
      <c r="AG99" s="945"/>
      <c r="AH99" s="945"/>
      <c r="AI99" s="946"/>
      <c r="AJ99" s="338">
        <f t="shared" si="15"/>
        <v>0</v>
      </c>
      <c r="AK99" s="152"/>
      <c r="AL99" s="113"/>
      <c r="AM99" s="89"/>
      <c r="AN99" s="89"/>
      <c r="AO99" s="89"/>
      <c r="AP99" s="89"/>
      <c r="AQ99" s="89"/>
      <c r="AR99" s="89"/>
    </row>
    <row r="100" spans="1:44" x14ac:dyDescent="0.2">
      <c r="A100" s="165"/>
      <c r="B100" s="185"/>
      <c r="C100" s="340" t="str">
        <f>IF(ctArbeitsgebiete!H26&lt;&gt;"",ctArbeitsgebiete!H26,"")</f>
        <v/>
      </c>
      <c r="D100" s="334"/>
      <c r="E100" s="944"/>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B100" s="945"/>
      <c r="AC100" s="945"/>
      <c r="AD100" s="945"/>
      <c r="AE100" s="945"/>
      <c r="AF100" s="945"/>
      <c r="AG100" s="945"/>
      <c r="AH100" s="945"/>
      <c r="AI100" s="946"/>
      <c r="AJ100" s="338">
        <f t="shared" si="15"/>
        <v>0</v>
      </c>
      <c r="AK100" s="152"/>
      <c r="AL100" s="113"/>
      <c r="AM100" s="89"/>
      <c r="AN100" s="89"/>
      <c r="AO100" s="89"/>
      <c r="AP100" s="89"/>
      <c r="AQ100" s="89"/>
      <c r="AR100" s="89"/>
    </row>
    <row r="101" spans="1:44" x14ac:dyDescent="0.2">
      <c r="A101" s="165"/>
      <c r="B101" s="185"/>
      <c r="C101" s="345" t="str">
        <f>IF(ctArbeitsgebiete!H27&lt;&gt;"",ctArbeitsgebiete!H27,"")</f>
        <v/>
      </c>
      <c r="D101" s="346"/>
      <c r="E101" s="947"/>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9"/>
      <c r="AJ101" s="347">
        <f t="shared" si="15"/>
        <v>0</v>
      </c>
      <c r="AK101" s="152"/>
      <c r="AL101" s="113"/>
      <c r="AM101" s="89"/>
      <c r="AN101" s="89"/>
      <c r="AO101" s="89"/>
      <c r="AP101" s="89"/>
      <c r="AQ101" s="89"/>
      <c r="AR101" s="89"/>
    </row>
    <row r="102" spans="1:44" x14ac:dyDescent="0.2">
      <c r="A102" s="165"/>
      <c r="B102" s="185"/>
      <c r="C102" s="992" t="str">
        <f>IF(ctArbeitsgebiete!E24&lt;&gt;"",ctArbeitsgebiete!E24,"")</f>
        <v/>
      </c>
      <c r="D102" s="1083"/>
      <c r="E102" s="1084"/>
      <c r="F102" s="1085"/>
      <c r="G102" s="1085"/>
      <c r="H102" s="1085"/>
      <c r="I102" s="1085"/>
      <c r="J102" s="1085"/>
      <c r="K102" s="1085"/>
      <c r="L102" s="1085"/>
      <c r="M102" s="1085"/>
      <c r="N102" s="1085"/>
      <c r="O102" s="1085"/>
      <c r="P102" s="1085"/>
      <c r="Q102" s="1085"/>
      <c r="R102" s="1085"/>
      <c r="S102" s="1085"/>
      <c r="T102" s="1085"/>
      <c r="U102" s="1085"/>
      <c r="V102" s="1085"/>
      <c r="W102" s="1085"/>
      <c r="X102" s="1085"/>
      <c r="Y102" s="1085"/>
      <c r="Z102" s="1085"/>
      <c r="AA102" s="1085"/>
      <c r="AB102" s="1085"/>
      <c r="AC102" s="1085"/>
      <c r="AD102" s="1085"/>
      <c r="AE102" s="1085"/>
      <c r="AF102" s="1085"/>
      <c r="AG102" s="1085"/>
      <c r="AH102" s="1085"/>
      <c r="AI102" s="1086"/>
      <c r="AJ102" s="343">
        <f t="shared" si="15"/>
        <v>0</v>
      </c>
      <c r="AK102" s="152"/>
      <c r="AL102" s="113"/>
      <c r="AM102" s="89"/>
      <c r="AN102" s="89"/>
      <c r="AO102" s="89"/>
      <c r="AP102" s="89"/>
      <c r="AQ102" s="89"/>
      <c r="AR102" s="89"/>
    </row>
    <row r="103" spans="1:44" x14ac:dyDescent="0.2">
      <c r="A103" s="165"/>
      <c r="B103" s="185"/>
      <c r="C103" s="342" t="str">
        <f>IF(ctArbeitsgebiete!E25&lt;&gt;"",ctArbeitsgebiete!E25,"")</f>
        <v/>
      </c>
      <c r="D103" s="341"/>
      <c r="E103" s="944"/>
      <c r="F103" s="945"/>
      <c r="G103" s="945"/>
      <c r="H103" s="945"/>
      <c r="I103" s="945"/>
      <c r="J103" s="945"/>
      <c r="K103" s="945"/>
      <c r="L103" s="945"/>
      <c r="M103" s="945"/>
      <c r="N103" s="945"/>
      <c r="O103" s="945"/>
      <c r="P103" s="945"/>
      <c r="Q103" s="945"/>
      <c r="R103" s="945"/>
      <c r="S103" s="945"/>
      <c r="T103" s="945"/>
      <c r="U103" s="945"/>
      <c r="V103" s="945"/>
      <c r="W103" s="945"/>
      <c r="X103" s="945"/>
      <c r="Y103" s="945"/>
      <c r="Z103" s="945"/>
      <c r="AA103" s="945"/>
      <c r="AB103" s="945"/>
      <c r="AC103" s="945"/>
      <c r="AD103" s="945"/>
      <c r="AE103" s="945"/>
      <c r="AF103" s="945"/>
      <c r="AG103" s="945"/>
      <c r="AH103" s="945"/>
      <c r="AI103" s="946"/>
      <c r="AJ103" s="343">
        <f t="shared" si="15"/>
        <v>0</v>
      </c>
      <c r="AK103" s="152"/>
      <c r="AL103" s="113"/>
      <c r="AM103" s="89"/>
      <c r="AN103" s="89"/>
      <c r="AO103" s="89"/>
      <c r="AP103" s="89"/>
      <c r="AQ103" s="89"/>
      <c r="AR103" s="89"/>
    </row>
    <row r="104" spans="1:44" x14ac:dyDescent="0.2">
      <c r="A104" s="165"/>
      <c r="B104" s="185"/>
      <c r="C104" s="342" t="str">
        <f>IF(ctArbeitsgebiete!E26&lt;&gt;"",ctArbeitsgebiete!E26,"")</f>
        <v/>
      </c>
      <c r="D104" s="341"/>
      <c r="E104" s="944"/>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B104" s="945"/>
      <c r="AC104" s="945"/>
      <c r="AD104" s="945"/>
      <c r="AE104" s="945"/>
      <c r="AF104" s="945"/>
      <c r="AG104" s="945"/>
      <c r="AH104" s="945"/>
      <c r="AI104" s="946"/>
      <c r="AJ104" s="343">
        <f t="shared" si="15"/>
        <v>0</v>
      </c>
      <c r="AK104" s="152"/>
      <c r="AL104" s="113"/>
      <c r="AM104" s="89"/>
      <c r="AN104" s="89"/>
      <c r="AO104" s="89"/>
      <c r="AP104" s="89"/>
      <c r="AQ104" s="89"/>
      <c r="AR104" s="89"/>
    </row>
    <row r="105" spans="1:44" ht="13.5" thickBot="1" x14ac:dyDescent="0.25">
      <c r="A105" s="165"/>
      <c r="B105" s="185"/>
      <c r="C105" s="342" t="str">
        <f>IF(ctArbeitsgebiete!E27&lt;&gt;"",ctArbeitsgebiete!E27,"")</f>
        <v/>
      </c>
      <c r="D105" s="341"/>
      <c r="E105" s="950"/>
      <c r="F105" s="951"/>
      <c r="G105" s="951"/>
      <c r="H105" s="951"/>
      <c r="I105" s="951"/>
      <c r="J105" s="951"/>
      <c r="K105" s="951"/>
      <c r="L105" s="951"/>
      <c r="M105" s="951"/>
      <c r="N105" s="951"/>
      <c r="O105" s="951"/>
      <c r="P105" s="951"/>
      <c r="Q105" s="951"/>
      <c r="R105" s="951"/>
      <c r="S105" s="951"/>
      <c r="T105" s="951"/>
      <c r="U105" s="951"/>
      <c r="V105" s="951"/>
      <c r="W105" s="951"/>
      <c r="X105" s="951"/>
      <c r="Y105" s="951"/>
      <c r="Z105" s="951"/>
      <c r="AA105" s="951"/>
      <c r="AB105" s="951"/>
      <c r="AC105" s="951"/>
      <c r="AD105" s="951"/>
      <c r="AE105" s="951"/>
      <c r="AF105" s="951"/>
      <c r="AG105" s="951"/>
      <c r="AH105" s="951"/>
      <c r="AI105" s="952"/>
      <c r="AJ105" s="344">
        <f t="shared" si="15"/>
        <v>0</v>
      </c>
      <c r="AK105" s="152"/>
      <c r="AL105" s="113"/>
      <c r="AM105" s="89"/>
      <c r="AN105" s="89"/>
      <c r="AO105" s="89"/>
      <c r="AP105" s="89"/>
      <c r="AQ105" s="89"/>
      <c r="AR105" s="89"/>
    </row>
    <row r="106" spans="1:44" s="218" customFormat="1" ht="63.75" collapsed="1" x14ac:dyDescent="0.2">
      <c r="C106" s="219" t="s">
        <v>444</v>
      </c>
      <c r="D106" s="220"/>
      <c r="E106" s="335"/>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6"/>
      <c r="AF106" s="336"/>
      <c r="AG106" s="336"/>
      <c r="AH106" s="336"/>
      <c r="AI106" s="337"/>
      <c r="AJ106" s="339">
        <f>SUM(E106:AI106)</f>
        <v>0</v>
      </c>
      <c r="AL106" s="222"/>
    </row>
  </sheetData>
  <sheetProtection algorithmName="SHA-512" hashValue="yNGLsH5z78tfXz42U4ncZ2fVLonYqJ2ck/M3YMWLmKz+6w/Ww/UmEb+s+hH4VGQmMiexcU0EG+UcSk44by/69g==" saltValue="DdmPPBCx0E7d1nerdkW6CQ==" spinCount="100000" sheet="1" selectLockedCells="1"/>
  <mergeCells count="1">
    <mergeCell ref="D3:D4"/>
  </mergeCells>
  <phoneticPr fontId="9" type="noConversion"/>
  <conditionalFormatting sqref="E3:AH4">
    <cfRule type="expression" dxfId="248" priority="110" stopIfTrue="1">
      <formula>WEEKDAY(E$3,2)=7</formula>
    </cfRule>
  </conditionalFormatting>
  <conditionalFormatting sqref="E11:AH11">
    <cfRule type="expression" dxfId="247" priority="105" stopIfTrue="1">
      <formula>WEEKDAY(E$3,2)=6</formula>
    </cfRule>
    <cfRule type="expression" dxfId="246" priority="106" stopIfTrue="1">
      <formula>WEEKDAY(E$3,2)=7</formula>
    </cfRule>
  </conditionalFormatting>
  <conditionalFormatting sqref="E12:AH12">
    <cfRule type="expression" dxfId="245" priority="107" stopIfTrue="1">
      <formula>WEEKDAY(E$3,2)=6</formula>
    </cfRule>
    <cfRule type="expression" dxfId="244" priority="108" stopIfTrue="1">
      <formula>WEEKDAY(E$3,2)=7</formula>
    </cfRule>
  </conditionalFormatting>
  <conditionalFormatting sqref="E3:AI4">
    <cfRule type="expression" dxfId="243" priority="109" stopIfTrue="1">
      <formula>WEEKDAY(E$3,2)=6</formula>
    </cfRule>
  </conditionalFormatting>
  <conditionalFormatting sqref="E7:AI7 E9:AI9">
    <cfRule type="expression" dxfId="242" priority="1" stopIfTrue="1">
      <formula>WEEKDAY(E$3,2)=6</formula>
    </cfRule>
    <cfRule type="expression" dxfId="241" priority="2" stopIfTrue="1">
      <formula>WEEKDAY(E$3,2)=7</formula>
    </cfRule>
  </conditionalFormatting>
  <conditionalFormatting sqref="E8:AI8 E10:AI10">
    <cfRule type="expression" dxfId="240" priority="3" stopIfTrue="1">
      <formula>WEEKDAY(E$3,2)=6</formula>
    </cfRule>
    <cfRule type="expression" dxfId="239" priority="4" stopIfTrue="1">
      <formula>WEEKDAY(E$3,2)=7</formula>
    </cfRule>
  </conditionalFormatting>
  <conditionalFormatting sqref="E13:AI18">
    <cfRule type="expression" dxfId="238" priority="111" stopIfTrue="1">
      <formula>WEEKDAY(E$3,2)=6</formula>
    </cfRule>
    <cfRule type="expression" dxfId="237" priority="112" stopIfTrue="1">
      <formula>WEEKDAY(E$3,2)=7</formula>
    </cfRule>
  </conditionalFormatting>
  <conditionalFormatting sqref="E19:AI19">
    <cfRule type="expression" dxfId="236" priority="113" stopIfTrue="1">
      <formula>WEEKDAY(E$3,2)=6</formula>
    </cfRule>
    <cfRule type="expression" dxfId="235" priority="114" stopIfTrue="1">
      <formula>WEEKDAY(E$3,2)=7</formula>
    </cfRule>
  </conditionalFormatting>
  <conditionalFormatting sqref="E20:AI20 E39:AI39">
    <cfRule type="expression" dxfId="234" priority="103" stopIfTrue="1">
      <formula>WEEKDAY(E$3,2)=6</formula>
    </cfRule>
    <cfRule type="expression" dxfId="233" priority="104" stopIfTrue="1">
      <formula>WEEKDAY(E$3,2)=7</formula>
    </cfRule>
  </conditionalFormatting>
  <conditionalFormatting sqref="E21:AI21 E33:AI38">
    <cfRule type="expression" dxfId="232" priority="99" stopIfTrue="1">
      <formula>WEEKDAY(E$3,2)=6</formula>
    </cfRule>
    <cfRule type="expression" dxfId="231" priority="100" stopIfTrue="1">
      <formula>WEEKDAY(E$3,2)=7</formula>
    </cfRule>
  </conditionalFormatting>
  <conditionalFormatting sqref="E22:AI32 E41:AI85 E94:AI106">
    <cfRule type="expression" dxfId="230" priority="101" stopIfTrue="1">
      <formula>WEEKDAY(E$3,2)=6</formula>
    </cfRule>
    <cfRule type="expression" dxfId="229" priority="102" stopIfTrue="1">
      <formula>WEEKDAY(E$3,2)=7</formula>
    </cfRule>
  </conditionalFormatting>
  <conditionalFormatting sqref="E40:AI40">
    <cfRule type="cellIs" dxfId="228" priority="115" stopIfTrue="1" operator="notEqual">
      <formula>0</formula>
    </cfRule>
    <cfRule type="expression" dxfId="227" priority="116" stopIfTrue="1">
      <formula>WEEKDAY(E$3,2)=6</formula>
    </cfRule>
    <cfRule type="expression" dxfId="226" priority="117" stopIfTrue="1">
      <formula>WEEKDAY(E$3,2)=7</formula>
    </cfRule>
  </conditionalFormatting>
  <conditionalFormatting sqref="AI3:AI4">
    <cfRule type="expression" dxfId="225" priority="121" stopIfTrue="1">
      <formula>WEEKDAY(AI$3,2)=7</formula>
    </cfRule>
  </conditionalFormatting>
  <conditionalFormatting sqref="AI11:AI12">
    <cfRule type="expression" dxfId="224" priority="118" stopIfTrue="1">
      <formula>WEEKDAY(AI$3,2)=6</formula>
    </cfRule>
    <cfRule type="expression" dxfId="223" priority="119" stopIfTrue="1">
      <formula>WEEKDAY(AI$3,2)=7</formula>
    </cfRule>
  </conditionalFormatting>
  <printOptions horizontalCentered="1" verticalCentered="1"/>
  <pageMargins left="0.19685039370078741" right="0.19685039370078741" top="0.39370078740157483" bottom="0.19685039370078741" header="0.31496062992125984" footer="0.19685039370078741"/>
  <pageSetup paperSize="9" scale="53" orientation="landscape"/>
  <headerFooter>
    <oddHeader>&amp;C&amp;12Monatsabrechnung   &amp;A</oddHead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pageSetUpPr fitToPage="1"/>
  </sheetPr>
  <dimension ref="A1:AT106"/>
  <sheetViews>
    <sheetView showGridLines="0" showRowColHeaders="0" showZeros="0" showOutlineSymbols="0" topLeftCell="C2" zoomScale="80" zoomScaleNormal="80" workbookViewId="0">
      <pane xSplit="2" ySplit="39" topLeftCell="E41" activePane="bottomRight" state="frozen"/>
      <selection pane="topRight"/>
      <selection pane="bottomLeft"/>
      <selection pane="bottomRight" activeCell="E7" sqref="E7"/>
    </sheetView>
  </sheetViews>
  <sheetFormatPr baseColWidth="10" defaultColWidth="11.42578125" defaultRowHeight="12.75" outlineLevelRow="2" outlineLevelCol="1" x14ac:dyDescent="0.2"/>
  <cols>
    <col min="1" max="1" width="11.42578125" style="8" hidden="1" customWidth="1" outlineLevel="1"/>
    <col min="2" max="2" width="8.42578125" style="13" hidden="1" customWidth="1" outlineLevel="1"/>
    <col min="3" max="3" width="22.42578125" style="87" customWidth="1" collapsed="1"/>
    <col min="4" max="4" width="7.85546875" style="13" customWidth="1"/>
    <col min="5" max="35" width="7.42578125" style="13" customWidth="1"/>
    <col min="36" max="36" width="7.42578125" style="209" customWidth="1"/>
    <col min="37" max="37" width="7.7109375" style="13" hidden="1" customWidth="1" outlineLevel="1"/>
    <col min="38" max="38" width="15.7109375" style="182" hidden="1" customWidth="1" outlineLevel="1"/>
    <col min="39" max="40" width="0" style="8" hidden="1" customWidth="1" outlineLevel="1"/>
    <col min="41" max="41" width="26.7109375" style="8" hidden="1" customWidth="1" outlineLevel="1"/>
    <col min="42" max="44" width="0" style="8" hidden="1" customWidth="1" outlineLevel="1"/>
    <col min="45" max="45" width="11.42578125" style="8" collapsed="1"/>
    <col min="46" max="16384" width="11.42578125" style="8"/>
  </cols>
  <sheetData>
    <row r="1" spans="2:46" ht="30" hidden="1" customHeight="1" outlineLevel="1" thickBot="1" x14ac:dyDescent="0.25">
      <c r="AF1" s="8"/>
      <c r="AJ1" s="88"/>
      <c r="AK1" s="89"/>
      <c r="AL1" s="90" t="s">
        <v>406</v>
      </c>
      <c r="AM1" s="91" t="s">
        <v>407</v>
      </c>
      <c r="AN1" s="89"/>
      <c r="AO1" s="89"/>
      <c r="AP1" s="89"/>
      <c r="AQ1" s="89"/>
      <c r="AR1" s="89"/>
    </row>
    <row r="2" spans="2:46" ht="30" customHeight="1" collapsed="1" thickBot="1" x14ac:dyDescent="0.25">
      <c r="C2" s="92">
        <f>DATEVALUE("1.4."&amp;YEAR(ctPersonalangaben!H12))</f>
        <v>44651</v>
      </c>
      <c r="D2" s="93">
        <f>YEAR(ctPersonalangaben!H12)</f>
        <v>2026</v>
      </c>
      <c r="E2" s="897" t="str">
        <f>CONCATENATE("Arbeitszeit-Eingabe von ",Mitarbeiter)</f>
        <v>Arbeitszeit-Eingabe von Max Muster, Musterstelle</v>
      </c>
      <c r="F2" s="6"/>
      <c r="G2" s="6"/>
      <c r="H2" s="6"/>
      <c r="I2" s="94"/>
      <c r="J2" s="6"/>
      <c r="K2" s="6"/>
      <c r="L2" s="6"/>
      <c r="M2" s="6"/>
      <c r="N2" s="6"/>
      <c r="O2" s="6"/>
      <c r="P2" s="6"/>
      <c r="Q2" s="6"/>
      <c r="R2" s="6"/>
      <c r="S2" s="95"/>
      <c r="T2" s="96"/>
      <c r="U2" s="96"/>
      <c r="V2" s="97"/>
      <c r="W2" s="97"/>
      <c r="X2" s="97"/>
      <c r="Y2" s="97"/>
      <c r="Z2" s="97"/>
      <c r="AA2" s="97"/>
      <c r="AB2" s="97"/>
      <c r="AC2" s="97"/>
      <c r="AD2" s="98"/>
      <c r="AE2" s="97"/>
      <c r="AF2" s="99"/>
      <c r="AG2" s="100" t="s">
        <v>408</v>
      </c>
      <c r="AH2" s="99">
        <f>VLOOKUP(DATE($D$2,MONTH($C$2),$E$4),Ferienanspruch,3,TRUE)</f>
        <v>100</v>
      </c>
      <c r="AI2" s="101" t="s">
        <v>106</v>
      </c>
      <c r="AJ2" s="88"/>
      <c r="AK2" s="102"/>
      <c r="AL2" s="91"/>
      <c r="AM2" s="91" t="s">
        <v>409</v>
      </c>
      <c r="AN2" s="89"/>
      <c r="AO2" s="89"/>
      <c r="AP2" s="89"/>
      <c r="AQ2" s="89"/>
      <c r="AR2" s="89"/>
    </row>
    <row r="3" spans="2:46" x14ac:dyDescent="0.2">
      <c r="C3" s="7"/>
      <c r="D3" s="1254" t="s">
        <v>254</v>
      </c>
      <c r="E3" s="226">
        <f t="shared" ref="E3:AF3" si="0">DATE($D$2,MONTH($C$2),E$4)</f>
        <v>44651</v>
      </c>
      <c r="F3" s="103">
        <f t="shared" si="0"/>
        <v>44652</v>
      </c>
      <c r="G3" s="103">
        <f t="shared" si="0"/>
        <v>44653</v>
      </c>
      <c r="H3" s="103">
        <f t="shared" si="0"/>
        <v>44654</v>
      </c>
      <c r="I3" s="226">
        <f t="shared" si="0"/>
        <v>44655</v>
      </c>
      <c r="J3" s="103">
        <f t="shared" si="0"/>
        <v>44656</v>
      </c>
      <c r="K3" s="103">
        <f t="shared" si="0"/>
        <v>44657</v>
      </c>
      <c r="L3" s="103">
        <f t="shared" si="0"/>
        <v>44658</v>
      </c>
      <c r="M3" s="103">
        <f t="shared" si="0"/>
        <v>44659</v>
      </c>
      <c r="N3" s="103">
        <f t="shared" si="0"/>
        <v>44660</v>
      </c>
      <c r="O3" s="103">
        <f t="shared" si="0"/>
        <v>44661</v>
      </c>
      <c r="P3" s="103">
        <f t="shared" si="0"/>
        <v>44662</v>
      </c>
      <c r="Q3" s="103">
        <f t="shared" si="0"/>
        <v>44663</v>
      </c>
      <c r="R3" s="103">
        <f t="shared" si="0"/>
        <v>44664</v>
      </c>
      <c r="S3" s="103">
        <f t="shared" si="0"/>
        <v>44665</v>
      </c>
      <c r="T3" s="103">
        <f t="shared" si="0"/>
        <v>44666</v>
      </c>
      <c r="U3" s="103">
        <f t="shared" si="0"/>
        <v>44667</v>
      </c>
      <c r="V3" s="103">
        <f t="shared" si="0"/>
        <v>44668</v>
      </c>
      <c r="W3" s="103">
        <f t="shared" si="0"/>
        <v>44669</v>
      </c>
      <c r="X3" s="103">
        <f t="shared" si="0"/>
        <v>44670</v>
      </c>
      <c r="Y3" s="103">
        <f t="shared" si="0"/>
        <v>44671</v>
      </c>
      <c r="Z3" s="103">
        <f t="shared" si="0"/>
        <v>44672</v>
      </c>
      <c r="AA3" s="103">
        <f t="shared" si="0"/>
        <v>44673</v>
      </c>
      <c r="AB3" s="103">
        <f t="shared" si="0"/>
        <v>44674</v>
      </c>
      <c r="AC3" s="103">
        <f t="shared" si="0"/>
        <v>44675</v>
      </c>
      <c r="AD3" s="104">
        <f t="shared" si="0"/>
        <v>44676</v>
      </c>
      <c r="AE3" s="104">
        <f t="shared" si="0"/>
        <v>44677</v>
      </c>
      <c r="AF3" s="104">
        <f t="shared" si="0"/>
        <v>44678</v>
      </c>
      <c r="AG3" s="104">
        <f>IF(MONTH($C2+AG$5) = MONTH($C2),DATE($D$2,MONTH($C$2),AG$5+1),"")</f>
        <v>44679</v>
      </c>
      <c r="AH3" s="104">
        <f>IF(MONTH($C2+AH$5) = MONTH($C2),DATE($D$2,MONTH($C$2),AH$5+1),"")</f>
        <v>44680</v>
      </c>
      <c r="AI3" s="105" t="str">
        <f>IF(MONTH($C2+AI$5) = MONTH($C2),DATE($D$2,MONTH($C$2),AI$5+1),"")</f>
        <v/>
      </c>
      <c r="AJ3" s="88"/>
      <c r="AK3" s="106"/>
      <c r="AL3" s="91"/>
      <c r="AM3" s="91"/>
      <c r="AN3" s="89"/>
      <c r="AO3" s="89"/>
      <c r="AP3" s="89"/>
      <c r="AQ3" s="89"/>
      <c r="AR3" s="89"/>
    </row>
    <row r="4" spans="2:46" ht="19.5" customHeight="1" x14ac:dyDescent="0.2">
      <c r="C4" s="13"/>
      <c r="D4" s="1255"/>
      <c r="E4" s="227">
        <v>1</v>
      </c>
      <c r="F4" s="107">
        <v>2</v>
      </c>
      <c r="G4" s="107">
        <v>3</v>
      </c>
      <c r="H4" s="107">
        <v>4</v>
      </c>
      <c r="I4" s="227">
        <v>5</v>
      </c>
      <c r="J4" s="107">
        <v>6</v>
      </c>
      <c r="K4" s="107">
        <v>7</v>
      </c>
      <c r="L4" s="107">
        <v>8</v>
      </c>
      <c r="M4" s="107">
        <v>9</v>
      </c>
      <c r="N4" s="107">
        <v>10</v>
      </c>
      <c r="O4" s="107">
        <v>11</v>
      </c>
      <c r="P4" s="107">
        <v>12</v>
      </c>
      <c r="Q4" s="107">
        <v>13</v>
      </c>
      <c r="R4" s="107">
        <v>14</v>
      </c>
      <c r="S4" s="107">
        <v>15</v>
      </c>
      <c r="T4" s="107">
        <v>16</v>
      </c>
      <c r="U4" s="107">
        <v>17</v>
      </c>
      <c r="V4" s="107">
        <v>18</v>
      </c>
      <c r="W4" s="107">
        <v>19</v>
      </c>
      <c r="X4" s="107">
        <v>20</v>
      </c>
      <c r="Y4" s="107">
        <v>21</v>
      </c>
      <c r="Z4" s="107">
        <v>22</v>
      </c>
      <c r="AA4" s="107">
        <v>23</v>
      </c>
      <c r="AB4" s="107">
        <v>24</v>
      </c>
      <c r="AC4" s="107">
        <v>25</v>
      </c>
      <c r="AD4" s="107">
        <v>26</v>
      </c>
      <c r="AE4" s="107">
        <v>27</v>
      </c>
      <c r="AF4" s="107">
        <v>28</v>
      </c>
      <c r="AG4" s="107">
        <f>IF(MONTH($C2+AG5) = MONTH($C2),AG$5+1,0)</f>
        <v>29</v>
      </c>
      <c r="AH4" s="107">
        <f>IF(MONTH($C2+AH5) = MONTH($C2),AH$5+1,0)</f>
        <v>30</v>
      </c>
      <c r="AI4" s="108">
        <f>IF(MONTH($C2+AI5) = MONTH($C2),AI$5+1,0)</f>
        <v>0</v>
      </c>
      <c r="AJ4" s="88"/>
      <c r="AK4" s="106"/>
      <c r="AL4" s="91"/>
      <c r="AM4" s="91"/>
      <c r="AN4" s="89"/>
      <c r="AO4" s="89"/>
      <c r="AP4" s="89"/>
      <c r="AQ4" s="89"/>
      <c r="AR4" s="89"/>
    </row>
    <row r="5" spans="2:46" ht="19.5" hidden="1" customHeight="1" outlineLevel="1" x14ac:dyDescent="0.2">
      <c r="C5" s="13"/>
      <c r="D5" s="109"/>
      <c r="E5" s="110"/>
      <c r="F5" s="110">
        <v>1</v>
      </c>
      <c r="G5" s="110">
        <v>2</v>
      </c>
      <c r="H5" s="228">
        <v>3</v>
      </c>
      <c r="I5" s="110">
        <v>4</v>
      </c>
      <c r="J5" s="110">
        <v>5</v>
      </c>
      <c r="K5" s="110">
        <v>6</v>
      </c>
      <c r="L5" s="110">
        <v>7</v>
      </c>
      <c r="M5" s="110">
        <v>8</v>
      </c>
      <c r="N5" s="110">
        <v>9</v>
      </c>
      <c r="O5" s="110">
        <v>10</v>
      </c>
      <c r="P5" s="110">
        <v>11</v>
      </c>
      <c r="Q5" s="110">
        <v>12</v>
      </c>
      <c r="R5" s="110">
        <v>13</v>
      </c>
      <c r="S5" s="110">
        <v>14</v>
      </c>
      <c r="T5" s="110">
        <v>15</v>
      </c>
      <c r="U5" s="110">
        <v>16</v>
      </c>
      <c r="V5" s="110">
        <v>17</v>
      </c>
      <c r="W5" s="110">
        <v>18</v>
      </c>
      <c r="X5" s="110">
        <v>19</v>
      </c>
      <c r="Y5" s="110">
        <v>20</v>
      </c>
      <c r="Z5" s="110">
        <v>21</v>
      </c>
      <c r="AA5" s="110">
        <v>22</v>
      </c>
      <c r="AB5" s="110">
        <v>23</v>
      </c>
      <c r="AC5" s="110">
        <v>24</v>
      </c>
      <c r="AD5" s="110">
        <v>25</v>
      </c>
      <c r="AE5" s="110">
        <v>26</v>
      </c>
      <c r="AF5" s="110">
        <v>27</v>
      </c>
      <c r="AG5" s="110">
        <v>28</v>
      </c>
      <c r="AH5" s="110">
        <v>29</v>
      </c>
      <c r="AI5" s="111">
        <v>30</v>
      </c>
      <c r="AJ5" s="88"/>
      <c r="AK5" s="102"/>
      <c r="AL5" s="91"/>
      <c r="AM5" s="91"/>
      <c r="AN5" s="89"/>
      <c r="AO5" s="89"/>
      <c r="AP5" s="89"/>
      <c r="AQ5" s="89"/>
      <c r="AR5" s="89"/>
    </row>
    <row r="6" spans="2:46" ht="19.5" hidden="1" customHeight="1" outlineLevel="1" x14ac:dyDescent="0.2">
      <c r="C6" s="13"/>
      <c r="D6" s="109"/>
      <c r="E6" s="288">
        <f>WEEKDAY(E$3,2)</f>
        <v>3</v>
      </c>
      <c r="F6" s="288">
        <f t="shared" ref="F6:AF6" si="1">WEEKDAY(F$3,2)</f>
        <v>4</v>
      </c>
      <c r="G6" s="288">
        <f t="shared" si="1"/>
        <v>5</v>
      </c>
      <c r="H6" s="898">
        <f t="shared" si="1"/>
        <v>6</v>
      </c>
      <c r="I6" s="288">
        <f t="shared" si="1"/>
        <v>7</v>
      </c>
      <c r="J6" s="288">
        <f t="shared" si="1"/>
        <v>1</v>
      </c>
      <c r="K6" s="288">
        <f t="shared" si="1"/>
        <v>2</v>
      </c>
      <c r="L6" s="288">
        <f t="shared" si="1"/>
        <v>3</v>
      </c>
      <c r="M6" s="288">
        <f t="shared" si="1"/>
        <v>4</v>
      </c>
      <c r="N6" s="288">
        <f t="shared" si="1"/>
        <v>5</v>
      </c>
      <c r="O6" s="288">
        <f t="shared" si="1"/>
        <v>6</v>
      </c>
      <c r="P6" s="288">
        <f t="shared" si="1"/>
        <v>7</v>
      </c>
      <c r="Q6" s="288">
        <f t="shared" si="1"/>
        <v>1</v>
      </c>
      <c r="R6" s="288">
        <f t="shared" si="1"/>
        <v>2</v>
      </c>
      <c r="S6" s="288">
        <f t="shared" si="1"/>
        <v>3</v>
      </c>
      <c r="T6" s="288">
        <f t="shared" si="1"/>
        <v>4</v>
      </c>
      <c r="U6" s="288">
        <f t="shared" si="1"/>
        <v>5</v>
      </c>
      <c r="V6" s="288">
        <f t="shared" si="1"/>
        <v>6</v>
      </c>
      <c r="W6" s="288">
        <f t="shared" si="1"/>
        <v>7</v>
      </c>
      <c r="X6" s="288">
        <f t="shared" si="1"/>
        <v>1</v>
      </c>
      <c r="Y6" s="288">
        <f t="shared" si="1"/>
        <v>2</v>
      </c>
      <c r="Z6" s="288">
        <f t="shared" si="1"/>
        <v>3</v>
      </c>
      <c r="AA6" s="288">
        <f t="shared" si="1"/>
        <v>4</v>
      </c>
      <c r="AB6" s="288">
        <f t="shared" si="1"/>
        <v>5</v>
      </c>
      <c r="AC6" s="288">
        <f t="shared" si="1"/>
        <v>6</v>
      </c>
      <c r="AD6" s="288">
        <f t="shared" si="1"/>
        <v>7</v>
      </c>
      <c r="AE6" s="288">
        <f t="shared" si="1"/>
        <v>1</v>
      </c>
      <c r="AF6" s="288">
        <f t="shared" si="1"/>
        <v>2</v>
      </c>
      <c r="AG6" s="288">
        <f>IF(AG3&lt;&gt;"",WEEKDAY(AG$3,2),"")</f>
        <v>3</v>
      </c>
      <c r="AH6" s="288">
        <f>IF(AH3&lt;&gt;"",WEEKDAY(AH$3,2),"")</f>
        <v>4</v>
      </c>
      <c r="AI6" s="899" t="str">
        <f>IF(AI3&lt;&gt;"",WEEKDAY(AI$3,2),"")</f>
        <v/>
      </c>
      <c r="AJ6" s="88"/>
      <c r="AK6" s="102"/>
      <c r="AL6" s="91"/>
      <c r="AM6" s="91"/>
      <c r="AN6" s="89"/>
      <c r="AO6" s="89"/>
      <c r="AP6" s="89"/>
      <c r="AQ6" s="89"/>
      <c r="AR6" s="89"/>
    </row>
    <row r="7" spans="2:46" ht="22.5" customHeight="1" collapsed="1" x14ac:dyDescent="0.2">
      <c r="C7" s="8"/>
      <c r="D7" s="112" t="str">
        <f>Januar!D7</f>
        <v>Beginn</v>
      </c>
      <c r="E7" s="1041"/>
      <c r="F7" s="1042">
        <v>0</v>
      </c>
      <c r="G7" s="1042">
        <v>0</v>
      </c>
      <c r="H7" s="1042">
        <v>0</v>
      </c>
      <c r="I7" s="1042">
        <v>0</v>
      </c>
      <c r="J7" s="1042">
        <v>0</v>
      </c>
      <c r="K7" s="1042">
        <v>0</v>
      </c>
      <c r="L7" s="1042">
        <v>0</v>
      </c>
      <c r="M7" s="1042">
        <v>0</v>
      </c>
      <c r="N7" s="1042">
        <v>0</v>
      </c>
      <c r="O7" s="1042">
        <v>0</v>
      </c>
      <c r="P7" s="1042">
        <v>0</v>
      </c>
      <c r="Q7" s="1042">
        <v>0</v>
      </c>
      <c r="R7" s="1042">
        <v>0</v>
      </c>
      <c r="S7" s="1042">
        <v>0</v>
      </c>
      <c r="T7" s="1042">
        <v>0</v>
      </c>
      <c r="U7" s="1042">
        <v>0</v>
      </c>
      <c r="V7" s="1042">
        <v>0</v>
      </c>
      <c r="W7" s="1042">
        <v>0</v>
      </c>
      <c r="X7" s="1042">
        <v>0</v>
      </c>
      <c r="Y7" s="1042">
        <v>0</v>
      </c>
      <c r="Z7" s="1042">
        <v>0</v>
      </c>
      <c r="AA7" s="1042">
        <v>0</v>
      </c>
      <c r="AB7" s="1042">
        <v>0</v>
      </c>
      <c r="AC7" s="1042">
        <v>0</v>
      </c>
      <c r="AD7" s="1042">
        <v>0</v>
      </c>
      <c r="AE7" s="1042">
        <v>0</v>
      </c>
      <c r="AF7" s="1042">
        <v>0</v>
      </c>
      <c r="AG7" s="1042">
        <v>0</v>
      </c>
      <c r="AH7" s="1042">
        <v>0</v>
      </c>
      <c r="AI7" s="1043"/>
      <c r="AJ7" s="88"/>
      <c r="AK7" s="900"/>
      <c r="AL7" s="91"/>
      <c r="AM7" s="91"/>
      <c r="AN7" s="113"/>
      <c r="AO7" s="89"/>
      <c r="AP7" s="89"/>
      <c r="AQ7" s="89"/>
      <c r="AR7" s="89"/>
    </row>
    <row r="8" spans="2:46" ht="22.5" customHeight="1" x14ac:dyDescent="0.2">
      <c r="C8" s="901"/>
      <c r="D8" s="112" t="str">
        <f>Januar!D8</f>
        <v>Ende</v>
      </c>
      <c r="E8" s="235"/>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4"/>
      <c r="AJ8" s="88"/>
      <c r="AK8" s="900"/>
      <c r="AL8" s="91"/>
      <c r="AM8" s="91"/>
      <c r="AN8" s="89"/>
      <c r="AO8" s="89"/>
      <c r="AP8" s="89"/>
      <c r="AQ8" s="89"/>
      <c r="AR8" s="89"/>
    </row>
    <row r="9" spans="2:46" ht="22.5" customHeight="1" x14ac:dyDescent="0.2">
      <c r="C9" s="8"/>
      <c r="D9" s="112" t="str">
        <f>Januar!D9</f>
        <v>Beginn</v>
      </c>
      <c r="E9" s="1041"/>
      <c r="F9" s="1042"/>
      <c r="G9" s="1042"/>
      <c r="H9" s="1042"/>
      <c r="I9" s="1042"/>
      <c r="J9" s="1042"/>
      <c r="K9" s="1042"/>
      <c r="L9" s="1042"/>
      <c r="M9" s="1042"/>
      <c r="N9" s="1042"/>
      <c r="O9" s="1042"/>
      <c r="P9" s="1042"/>
      <c r="Q9" s="1042"/>
      <c r="R9" s="1042"/>
      <c r="S9" s="1042"/>
      <c r="T9" s="1042"/>
      <c r="U9" s="1042"/>
      <c r="V9" s="1042"/>
      <c r="W9" s="1042"/>
      <c r="X9" s="1042"/>
      <c r="Y9" s="1042"/>
      <c r="Z9" s="1042"/>
      <c r="AA9" s="1042"/>
      <c r="AB9" s="1042"/>
      <c r="AC9" s="1042"/>
      <c r="AD9" s="1042"/>
      <c r="AE9" s="1042"/>
      <c r="AF9" s="1042"/>
      <c r="AG9" s="1042"/>
      <c r="AH9" s="1042"/>
      <c r="AI9" s="1043"/>
      <c r="AJ9" s="88"/>
      <c r="AK9" s="900"/>
      <c r="AL9" s="91"/>
      <c r="AM9" s="91"/>
      <c r="AN9" s="89"/>
      <c r="AO9" s="89"/>
      <c r="AP9" s="89"/>
      <c r="AQ9" s="89"/>
      <c r="AR9" s="89"/>
    </row>
    <row r="10" spans="2:46" ht="22.5" customHeight="1" x14ac:dyDescent="0.2">
      <c r="C10" s="901"/>
      <c r="D10" s="112" t="str">
        <f>Januar!D10</f>
        <v>Ende</v>
      </c>
      <c r="E10" s="235"/>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4"/>
      <c r="AJ10" s="88"/>
      <c r="AK10" s="900"/>
      <c r="AL10" s="900"/>
      <c r="AM10" s="114"/>
      <c r="AN10" s="114"/>
      <c r="AO10" s="114"/>
      <c r="AP10" s="89"/>
      <c r="AQ10" s="89"/>
      <c r="AR10" s="89"/>
    </row>
    <row r="11" spans="2:46" ht="22.5" customHeight="1" x14ac:dyDescent="0.2">
      <c r="C11" s="8"/>
      <c r="D11" s="112" t="str">
        <f>Januar!D11</f>
        <v>Beginn</v>
      </c>
      <c r="E11" s="1041"/>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3"/>
      <c r="AJ11" s="88"/>
      <c r="AK11" s="115"/>
      <c r="AL11" s="89"/>
      <c r="AM11" s="89"/>
      <c r="AN11" s="89"/>
      <c r="AO11" s="89"/>
      <c r="AP11" s="89"/>
      <c r="AQ11" s="89"/>
      <c r="AR11" s="89"/>
    </row>
    <row r="12" spans="2:46" ht="22.5" customHeight="1" x14ac:dyDescent="0.2">
      <c r="C12" s="116"/>
      <c r="D12" s="112" t="str">
        <f>Januar!D12</f>
        <v>Ende</v>
      </c>
      <c r="E12" s="235"/>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4"/>
      <c r="AJ12" s="88"/>
      <c r="AK12" s="902"/>
      <c r="AL12" s="91" t="s">
        <v>411</v>
      </c>
      <c r="AM12" s="91"/>
      <c r="AN12" s="113"/>
      <c r="AO12" s="89"/>
      <c r="AP12" s="89"/>
      <c r="AQ12" s="89"/>
      <c r="AR12" s="89"/>
    </row>
    <row r="13" spans="2:46" s="123" customFormat="1" x14ac:dyDescent="0.2">
      <c r="B13" s="117"/>
      <c r="C13" s="118" t="str">
        <f>Januar!C13</f>
        <v>Effektive Arbeitszeit</v>
      </c>
      <c r="D13" s="119"/>
      <c r="E13" s="1044">
        <f>IF(COUNT(E7:E12)&gt;0,E12-E11+E10-E9+E8-E7,E39)</f>
        <v>0</v>
      </c>
      <c r="F13" s="1045">
        <f t="shared" ref="F13:AI13" si="2">IF(COUNT(F7:F12)&gt;0,F12-F11+F10-F9+F8-F7,F39)</f>
        <v>0</v>
      </c>
      <c r="G13" s="1045">
        <f t="shared" si="2"/>
        <v>0</v>
      </c>
      <c r="H13" s="1045">
        <f t="shared" si="2"/>
        <v>0</v>
      </c>
      <c r="I13" s="1045">
        <f t="shared" si="2"/>
        <v>0</v>
      </c>
      <c r="J13" s="1045">
        <f t="shared" si="2"/>
        <v>0</v>
      </c>
      <c r="K13" s="1045">
        <f t="shared" si="2"/>
        <v>0</v>
      </c>
      <c r="L13" s="1045">
        <f t="shared" si="2"/>
        <v>0</v>
      </c>
      <c r="M13" s="1045">
        <f t="shared" si="2"/>
        <v>0</v>
      </c>
      <c r="N13" s="1045">
        <f t="shared" si="2"/>
        <v>0</v>
      </c>
      <c r="O13" s="1045">
        <f t="shared" si="2"/>
        <v>0</v>
      </c>
      <c r="P13" s="1045">
        <f t="shared" si="2"/>
        <v>0</v>
      </c>
      <c r="Q13" s="1045">
        <f t="shared" si="2"/>
        <v>0</v>
      </c>
      <c r="R13" s="1045">
        <f t="shared" si="2"/>
        <v>0</v>
      </c>
      <c r="S13" s="1045">
        <f t="shared" si="2"/>
        <v>0</v>
      </c>
      <c r="T13" s="1045">
        <f t="shared" si="2"/>
        <v>0</v>
      </c>
      <c r="U13" s="1045">
        <f t="shared" si="2"/>
        <v>0</v>
      </c>
      <c r="V13" s="1045">
        <f t="shared" si="2"/>
        <v>0</v>
      </c>
      <c r="W13" s="1045">
        <f t="shared" si="2"/>
        <v>0</v>
      </c>
      <c r="X13" s="1045">
        <f t="shared" si="2"/>
        <v>0</v>
      </c>
      <c r="Y13" s="1045">
        <f t="shared" si="2"/>
        <v>0</v>
      </c>
      <c r="Z13" s="1045">
        <f t="shared" si="2"/>
        <v>0</v>
      </c>
      <c r="AA13" s="1045">
        <f t="shared" si="2"/>
        <v>0</v>
      </c>
      <c r="AB13" s="1045">
        <f t="shared" si="2"/>
        <v>0</v>
      </c>
      <c r="AC13" s="1045">
        <f t="shared" si="2"/>
        <v>0</v>
      </c>
      <c r="AD13" s="1045">
        <f t="shared" si="2"/>
        <v>0</v>
      </c>
      <c r="AE13" s="1045">
        <f t="shared" si="2"/>
        <v>0</v>
      </c>
      <c r="AF13" s="1045">
        <f t="shared" si="2"/>
        <v>0</v>
      </c>
      <c r="AG13" s="1045">
        <f t="shared" si="2"/>
        <v>0</v>
      </c>
      <c r="AH13" s="1045">
        <f t="shared" si="2"/>
        <v>0</v>
      </c>
      <c r="AI13" s="1046">
        <f t="shared" si="2"/>
        <v>0</v>
      </c>
      <c r="AJ13" s="1047">
        <f t="shared" ref="AJ13:AJ18" si="3">SUM(E13:AI13)</f>
        <v>0</v>
      </c>
      <c r="AK13" s="120"/>
      <c r="AL13" s="121" t="s">
        <v>413</v>
      </c>
      <c r="AM13" s="121"/>
      <c r="AN13" s="122"/>
      <c r="AS13" s="124"/>
    </row>
    <row r="14" spans="2:46" s="129" customFormat="1" x14ac:dyDescent="0.2">
      <c r="B14" s="117"/>
      <c r="C14" s="118" t="str">
        <f>Januar!C14</f>
        <v>inkl. Basiszeit / Feiertage</v>
      </c>
      <c r="D14" s="125"/>
      <c r="E14" s="126">
        <f>ROUND(SUM(E13,E15,E21,E22,E24:E38),8)</f>
        <v>0</v>
      </c>
      <c r="F14" s="127">
        <f>ROUND(SUM(F13,F15,F21,F22,F24:F38),8)</f>
        <v>8.3333329999999997E-2</v>
      </c>
      <c r="G14" s="127">
        <f t="shared" ref="G14:AI14" si="4">ROUND(SUM(G13,G15,G21,G22,G24:G38),8)</f>
        <v>0.35</v>
      </c>
      <c r="H14" s="127">
        <f t="shared" si="4"/>
        <v>0</v>
      </c>
      <c r="I14" s="127">
        <f t="shared" si="4"/>
        <v>0</v>
      </c>
      <c r="J14" s="127">
        <f t="shared" si="4"/>
        <v>0.35</v>
      </c>
      <c r="K14" s="127">
        <f t="shared" si="4"/>
        <v>0</v>
      </c>
      <c r="L14" s="127">
        <f t="shared" si="4"/>
        <v>0</v>
      </c>
      <c r="M14" s="127">
        <f t="shared" si="4"/>
        <v>0</v>
      </c>
      <c r="N14" s="127">
        <f t="shared" si="4"/>
        <v>0</v>
      </c>
      <c r="O14" s="127">
        <f t="shared" si="4"/>
        <v>0</v>
      </c>
      <c r="P14" s="127">
        <f t="shared" si="4"/>
        <v>0</v>
      </c>
      <c r="Q14" s="127">
        <f t="shared" si="4"/>
        <v>0</v>
      </c>
      <c r="R14" s="127">
        <f t="shared" si="4"/>
        <v>0</v>
      </c>
      <c r="S14" s="127">
        <f t="shared" si="4"/>
        <v>0</v>
      </c>
      <c r="T14" s="127">
        <f t="shared" si="4"/>
        <v>0</v>
      </c>
      <c r="U14" s="127">
        <f t="shared" si="4"/>
        <v>0</v>
      </c>
      <c r="V14" s="127">
        <f t="shared" si="4"/>
        <v>0</v>
      </c>
      <c r="W14" s="127">
        <f t="shared" si="4"/>
        <v>0</v>
      </c>
      <c r="X14" s="127">
        <f t="shared" si="4"/>
        <v>0</v>
      </c>
      <c r="Y14" s="127">
        <f t="shared" si="4"/>
        <v>0</v>
      </c>
      <c r="Z14" s="127">
        <f t="shared" si="4"/>
        <v>0</v>
      </c>
      <c r="AA14" s="127">
        <f t="shared" si="4"/>
        <v>0</v>
      </c>
      <c r="AB14" s="127">
        <f t="shared" si="4"/>
        <v>0</v>
      </c>
      <c r="AC14" s="127">
        <f t="shared" si="4"/>
        <v>0</v>
      </c>
      <c r="AD14" s="127">
        <f t="shared" si="4"/>
        <v>0</v>
      </c>
      <c r="AE14" s="127">
        <f t="shared" si="4"/>
        <v>0</v>
      </c>
      <c r="AF14" s="127">
        <f t="shared" si="4"/>
        <v>0</v>
      </c>
      <c r="AG14" s="127">
        <f t="shared" si="4"/>
        <v>0</v>
      </c>
      <c r="AH14" s="127">
        <f t="shared" si="4"/>
        <v>0</v>
      </c>
      <c r="AI14" s="127">
        <f t="shared" si="4"/>
        <v>0</v>
      </c>
      <c r="AJ14" s="128">
        <f t="shared" si="3"/>
        <v>0.78333332999999994</v>
      </c>
      <c r="AK14" s="1048">
        <f>AJ14-AJ16-IF(Eingabeblatt!D7="NEIN",AJ85,AJ85/1.25)</f>
        <v>-6.1333333399999983</v>
      </c>
      <c r="AL14" s="117" t="s">
        <v>415</v>
      </c>
      <c r="AM14" s="121"/>
      <c r="AN14" s="122"/>
      <c r="AT14" s="123"/>
    </row>
    <row r="15" spans="2:46" s="129" customFormat="1" x14ac:dyDescent="0.2">
      <c r="B15" s="117">
        <f>ctFeierFreitage!K28</f>
        <v>3.3166666666666669</v>
      </c>
      <c r="C15" s="118" t="str">
        <f>Januar!C15</f>
        <v>Feiertagsanspruch</v>
      </c>
      <c r="D15" s="125"/>
      <c r="E15" s="126">
        <f t="shared" ref="E15:AI15" si="5">IF(ISERROR(VLOOKUP(DATE($D$2,MONTH($C$2),E$4),Feiertagsanspruch,9,FALSE)),0,VLOOKUP(DATE($D$2,MONTH($C$2),E$4),Feiertagsanspruch,9,FALSE))</f>
        <v>0</v>
      </c>
      <c r="F15" s="127">
        <f t="shared" si="5"/>
        <v>8.3333333333333329E-2</v>
      </c>
      <c r="G15" s="127">
        <f t="shared" si="5"/>
        <v>0.35000000000000003</v>
      </c>
      <c r="H15" s="127">
        <f t="shared" si="5"/>
        <v>0</v>
      </c>
      <c r="I15" s="127">
        <f t="shared" si="5"/>
        <v>0</v>
      </c>
      <c r="J15" s="127">
        <f t="shared" si="5"/>
        <v>0.35000000000000003</v>
      </c>
      <c r="K15" s="127">
        <f t="shared" si="5"/>
        <v>0</v>
      </c>
      <c r="L15" s="127">
        <f t="shared" si="5"/>
        <v>0</v>
      </c>
      <c r="M15" s="127">
        <f t="shared" si="5"/>
        <v>0</v>
      </c>
      <c r="N15" s="127">
        <f t="shared" si="5"/>
        <v>0</v>
      </c>
      <c r="O15" s="127">
        <f t="shared" si="5"/>
        <v>0</v>
      </c>
      <c r="P15" s="127">
        <f t="shared" si="5"/>
        <v>0</v>
      </c>
      <c r="Q15" s="127">
        <f t="shared" si="5"/>
        <v>0</v>
      </c>
      <c r="R15" s="127">
        <f t="shared" si="5"/>
        <v>0</v>
      </c>
      <c r="S15" s="127">
        <f t="shared" si="5"/>
        <v>0</v>
      </c>
      <c r="T15" s="127">
        <f t="shared" si="5"/>
        <v>0</v>
      </c>
      <c r="U15" s="127">
        <f t="shared" si="5"/>
        <v>0</v>
      </c>
      <c r="V15" s="127">
        <f t="shared" si="5"/>
        <v>0</v>
      </c>
      <c r="W15" s="127">
        <f t="shared" si="5"/>
        <v>0</v>
      </c>
      <c r="X15" s="127">
        <f t="shared" si="5"/>
        <v>0</v>
      </c>
      <c r="Y15" s="127">
        <f t="shared" si="5"/>
        <v>0</v>
      </c>
      <c r="Z15" s="127">
        <f t="shared" si="5"/>
        <v>0</v>
      </c>
      <c r="AA15" s="127">
        <f t="shared" si="5"/>
        <v>0</v>
      </c>
      <c r="AB15" s="127">
        <f t="shared" si="5"/>
        <v>0</v>
      </c>
      <c r="AC15" s="127">
        <f t="shared" si="5"/>
        <v>0</v>
      </c>
      <c r="AD15" s="127">
        <f t="shared" si="5"/>
        <v>0</v>
      </c>
      <c r="AE15" s="127">
        <f t="shared" si="5"/>
        <v>0</v>
      </c>
      <c r="AF15" s="127">
        <f t="shared" si="5"/>
        <v>0</v>
      </c>
      <c r="AG15" s="127">
        <f t="shared" si="5"/>
        <v>0</v>
      </c>
      <c r="AH15" s="127">
        <f t="shared" si="5"/>
        <v>0</v>
      </c>
      <c r="AI15" s="127">
        <f t="shared" si="5"/>
        <v>0</v>
      </c>
      <c r="AJ15" s="128">
        <f t="shared" si="3"/>
        <v>0.78333333333333344</v>
      </c>
      <c r="AK15" s="1048"/>
      <c r="AL15" s="117"/>
      <c r="AM15" s="121"/>
      <c r="AN15" s="122"/>
      <c r="AT15" s="123"/>
    </row>
    <row r="16" spans="2:46" s="123" customFormat="1" hidden="1" outlineLevel="1" x14ac:dyDescent="0.2">
      <c r="B16" s="117"/>
      <c r="C16" s="118" t="str">
        <f>Januar!C16</f>
        <v>SOLL-Arbeitszeit</v>
      </c>
      <c r="D16" s="119"/>
      <c r="E16" s="126">
        <f>IF(ROUND(E17-E15,8)&lt;0,0,ROUND(E17-E15,8))</f>
        <v>0.35</v>
      </c>
      <c r="F16" s="127">
        <f>IF(ROUND(F17-F15,8)&lt;0,0,ROUND(F17-F15,8))</f>
        <v>0.26666666999999999</v>
      </c>
      <c r="G16" s="127">
        <f t="shared" ref="G16:AI16" si="6">IF(ROUND(G17-G15,8)&lt;0,0,ROUND(G17-G15,8))</f>
        <v>0</v>
      </c>
      <c r="H16" s="127">
        <f t="shared" si="6"/>
        <v>0</v>
      </c>
      <c r="I16" s="127">
        <f t="shared" si="6"/>
        <v>0</v>
      </c>
      <c r="J16" s="127">
        <f t="shared" si="6"/>
        <v>0</v>
      </c>
      <c r="K16" s="127">
        <f t="shared" si="6"/>
        <v>0.35</v>
      </c>
      <c r="L16" s="127">
        <f t="shared" si="6"/>
        <v>0.35</v>
      </c>
      <c r="M16" s="127">
        <f t="shared" si="6"/>
        <v>0.35</v>
      </c>
      <c r="N16" s="127">
        <f t="shared" si="6"/>
        <v>0.35</v>
      </c>
      <c r="O16" s="127">
        <f t="shared" si="6"/>
        <v>0</v>
      </c>
      <c r="P16" s="127">
        <f t="shared" si="6"/>
        <v>0</v>
      </c>
      <c r="Q16" s="127">
        <f t="shared" si="6"/>
        <v>0.35</v>
      </c>
      <c r="R16" s="127">
        <f t="shared" si="6"/>
        <v>0.35</v>
      </c>
      <c r="S16" s="127">
        <f t="shared" si="6"/>
        <v>0.35</v>
      </c>
      <c r="T16" s="127">
        <f t="shared" si="6"/>
        <v>0.35</v>
      </c>
      <c r="U16" s="127">
        <f t="shared" si="6"/>
        <v>0.35</v>
      </c>
      <c r="V16" s="127">
        <f t="shared" si="6"/>
        <v>0</v>
      </c>
      <c r="W16" s="127">
        <f t="shared" si="6"/>
        <v>0</v>
      </c>
      <c r="X16" s="127">
        <f t="shared" si="6"/>
        <v>0.35</v>
      </c>
      <c r="Y16" s="127">
        <f t="shared" si="6"/>
        <v>0.35</v>
      </c>
      <c r="Z16" s="127">
        <f t="shared" si="6"/>
        <v>0.35</v>
      </c>
      <c r="AA16" s="127">
        <f t="shared" si="6"/>
        <v>0.35</v>
      </c>
      <c r="AB16" s="127">
        <f t="shared" si="6"/>
        <v>0.35</v>
      </c>
      <c r="AC16" s="127">
        <f t="shared" si="6"/>
        <v>0</v>
      </c>
      <c r="AD16" s="127">
        <f t="shared" si="6"/>
        <v>0</v>
      </c>
      <c r="AE16" s="127">
        <f t="shared" si="6"/>
        <v>0.35</v>
      </c>
      <c r="AF16" s="127">
        <f t="shared" si="6"/>
        <v>0.35</v>
      </c>
      <c r="AG16" s="127">
        <f t="shared" si="6"/>
        <v>0.35</v>
      </c>
      <c r="AH16" s="127">
        <f t="shared" si="6"/>
        <v>0.35</v>
      </c>
      <c r="AI16" s="127">
        <f t="shared" si="6"/>
        <v>0</v>
      </c>
      <c r="AJ16" s="128">
        <f t="shared" si="3"/>
        <v>6.9166666699999979</v>
      </c>
      <c r="AK16" s="130"/>
      <c r="AL16" s="121" t="s">
        <v>416</v>
      </c>
      <c r="AM16" s="121"/>
      <c r="AN16" s="122"/>
      <c r="AT16" s="129"/>
    </row>
    <row r="17" spans="1:46" s="123" customFormat="1" collapsed="1" x14ac:dyDescent="0.2">
      <c r="B17" s="117"/>
      <c r="C17" s="118" t="str">
        <f>Januar!C17</f>
        <v>Regelarbeitszeit</v>
      </c>
      <c r="D17" s="119"/>
      <c r="E17" s="126">
        <f>IF(ISERROR(IF(E4&lt;&gt;0,VLOOKUP(DATE($D$2,MONTH($C$2),E$4),Raz,WEEKDAY(DATE($D$2,MONTH($C$2),E$4))+2),0)),0,IF(E4&lt;&gt;0,VLOOKUP(DATE($D$2,MONTH($C$2),E$4),Raz,WEEKDAY(DATE($D$2,MONTH($C$2),E$4))+2),0))</f>
        <v>0.35000000000000003</v>
      </c>
      <c r="F17" s="127">
        <f t="shared" ref="F17:AI17" si="7">IF(ISERROR(IF(F4&lt;&gt;0,VLOOKUP(DATE($D$2,MONTH($C$2),F$4),Raz,WEEKDAY(DATE($D$2,MONTH($C$2),F$4))+2),0)),0,IF(F4&lt;&gt;0,VLOOKUP(DATE($D$2,MONTH($C$2),F$4),Raz,WEEKDAY(DATE($D$2,MONTH($C$2),F$4))+2),0))</f>
        <v>0.35</v>
      </c>
      <c r="G17" s="127">
        <f t="shared" si="7"/>
        <v>0.35000000000000003</v>
      </c>
      <c r="H17" s="127">
        <f t="shared" si="7"/>
        <v>0</v>
      </c>
      <c r="I17" s="127">
        <f t="shared" si="7"/>
        <v>0</v>
      </c>
      <c r="J17" s="127">
        <f t="shared" si="7"/>
        <v>0.35000000000000003</v>
      </c>
      <c r="K17" s="127">
        <f t="shared" si="7"/>
        <v>0.35000000000000003</v>
      </c>
      <c r="L17" s="127">
        <f t="shared" si="7"/>
        <v>0.35000000000000003</v>
      </c>
      <c r="M17" s="127">
        <f t="shared" si="7"/>
        <v>0.35</v>
      </c>
      <c r="N17" s="127">
        <f t="shared" si="7"/>
        <v>0.35000000000000003</v>
      </c>
      <c r="O17" s="127">
        <f t="shared" si="7"/>
        <v>0</v>
      </c>
      <c r="P17" s="127">
        <f t="shared" si="7"/>
        <v>0</v>
      </c>
      <c r="Q17" s="127">
        <f t="shared" si="7"/>
        <v>0.35000000000000003</v>
      </c>
      <c r="R17" s="127">
        <f t="shared" si="7"/>
        <v>0.35000000000000003</v>
      </c>
      <c r="S17" s="127">
        <f t="shared" si="7"/>
        <v>0.35000000000000003</v>
      </c>
      <c r="T17" s="127">
        <f t="shared" si="7"/>
        <v>0.35</v>
      </c>
      <c r="U17" s="127">
        <f t="shared" si="7"/>
        <v>0.35000000000000003</v>
      </c>
      <c r="V17" s="127">
        <f t="shared" si="7"/>
        <v>0</v>
      </c>
      <c r="W17" s="127">
        <f t="shared" si="7"/>
        <v>0</v>
      </c>
      <c r="X17" s="127">
        <f t="shared" si="7"/>
        <v>0.35000000000000003</v>
      </c>
      <c r="Y17" s="127">
        <f t="shared" si="7"/>
        <v>0.35000000000000003</v>
      </c>
      <c r="Z17" s="127">
        <f t="shared" si="7"/>
        <v>0.35000000000000003</v>
      </c>
      <c r="AA17" s="127">
        <f t="shared" si="7"/>
        <v>0.35</v>
      </c>
      <c r="AB17" s="127">
        <f t="shared" si="7"/>
        <v>0.35000000000000003</v>
      </c>
      <c r="AC17" s="127">
        <f t="shared" si="7"/>
        <v>0</v>
      </c>
      <c r="AD17" s="127">
        <f t="shared" si="7"/>
        <v>0</v>
      </c>
      <c r="AE17" s="127">
        <f t="shared" si="7"/>
        <v>0.35000000000000003</v>
      </c>
      <c r="AF17" s="127">
        <f t="shared" si="7"/>
        <v>0.35000000000000003</v>
      </c>
      <c r="AG17" s="127">
        <f t="shared" si="7"/>
        <v>0.35000000000000003</v>
      </c>
      <c r="AH17" s="127">
        <f t="shared" si="7"/>
        <v>0.35</v>
      </c>
      <c r="AI17" s="127">
        <f t="shared" si="7"/>
        <v>0</v>
      </c>
      <c r="AJ17" s="128">
        <f t="shared" si="3"/>
        <v>7.6999999999999966</v>
      </c>
      <c r="AK17" s="131"/>
      <c r="AL17" s="121"/>
      <c r="AM17" s="121"/>
      <c r="AN17" s="122"/>
    </row>
    <row r="18" spans="1:46" s="123" customFormat="1" x14ac:dyDescent="0.2">
      <c r="B18" s="117"/>
      <c r="C18" s="132" t="str">
        <f>Januar!C18</f>
        <v>Mehr-/Minderleistung</v>
      </c>
      <c r="D18" s="133"/>
      <c r="E18" s="134">
        <f>ROUND(E14-E17,8)</f>
        <v>-0.35</v>
      </c>
      <c r="F18" s="135">
        <f>ROUND(F14-F17,8)</f>
        <v>-0.26666666999999999</v>
      </c>
      <c r="G18" s="135">
        <f t="shared" ref="G18:AH18" si="8">ROUND(G14-G17,8)</f>
        <v>0</v>
      </c>
      <c r="H18" s="135">
        <f t="shared" si="8"/>
        <v>0</v>
      </c>
      <c r="I18" s="135">
        <f t="shared" si="8"/>
        <v>0</v>
      </c>
      <c r="J18" s="135">
        <f t="shared" si="8"/>
        <v>0</v>
      </c>
      <c r="K18" s="135">
        <f t="shared" si="8"/>
        <v>-0.35</v>
      </c>
      <c r="L18" s="135">
        <f t="shared" si="8"/>
        <v>-0.35</v>
      </c>
      <c r="M18" s="135">
        <f t="shared" si="8"/>
        <v>-0.35</v>
      </c>
      <c r="N18" s="135">
        <f t="shared" si="8"/>
        <v>-0.35</v>
      </c>
      <c r="O18" s="135">
        <f t="shared" si="8"/>
        <v>0</v>
      </c>
      <c r="P18" s="135">
        <f t="shared" si="8"/>
        <v>0</v>
      </c>
      <c r="Q18" s="135">
        <f t="shared" si="8"/>
        <v>-0.35</v>
      </c>
      <c r="R18" s="135">
        <f t="shared" si="8"/>
        <v>-0.35</v>
      </c>
      <c r="S18" s="135">
        <f t="shared" si="8"/>
        <v>-0.35</v>
      </c>
      <c r="T18" s="135">
        <f t="shared" si="8"/>
        <v>-0.35</v>
      </c>
      <c r="U18" s="135">
        <f t="shared" si="8"/>
        <v>-0.35</v>
      </c>
      <c r="V18" s="135">
        <f t="shared" si="8"/>
        <v>0</v>
      </c>
      <c r="W18" s="135">
        <f t="shared" si="8"/>
        <v>0</v>
      </c>
      <c r="X18" s="135">
        <f t="shared" si="8"/>
        <v>-0.35</v>
      </c>
      <c r="Y18" s="135">
        <f t="shared" si="8"/>
        <v>-0.35</v>
      </c>
      <c r="Z18" s="135">
        <f t="shared" si="8"/>
        <v>-0.35</v>
      </c>
      <c r="AA18" s="135">
        <f t="shared" si="8"/>
        <v>-0.35</v>
      </c>
      <c r="AB18" s="135">
        <f t="shared" si="8"/>
        <v>-0.35</v>
      </c>
      <c r="AC18" s="135">
        <f t="shared" si="8"/>
        <v>0</v>
      </c>
      <c r="AD18" s="135">
        <f t="shared" si="8"/>
        <v>0</v>
      </c>
      <c r="AE18" s="135">
        <f t="shared" si="8"/>
        <v>-0.35</v>
      </c>
      <c r="AF18" s="135">
        <f t="shared" si="8"/>
        <v>-0.35</v>
      </c>
      <c r="AG18" s="135">
        <f t="shared" si="8"/>
        <v>-0.35</v>
      </c>
      <c r="AH18" s="135">
        <f t="shared" si="8"/>
        <v>-0.35</v>
      </c>
      <c r="AI18" s="135">
        <f>IF(AI4&lt;&gt;0,ROUND(AI14-AI16,8),0)</f>
        <v>0</v>
      </c>
      <c r="AJ18" s="136">
        <f t="shared" si="3"/>
        <v>-6.9166666699999979</v>
      </c>
      <c r="AK18" s="137" t="s">
        <v>418</v>
      </c>
      <c r="AL18" s="121" t="s">
        <v>419</v>
      </c>
      <c r="AM18" s="121"/>
      <c r="AN18" s="122"/>
      <c r="AO18" s="122"/>
    </row>
    <row r="19" spans="1:46" s="138" customFormat="1" ht="24" x14ac:dyDescent="0.2">
      <c r="A19" s="781"/>
      <c r="B19" s="139" t="s">
        <v>420</v>
      </c>
      <c r="C19" s="1049" t="str">
        <f>Januar!C19</f>
        <v>Arbeitszeit-Saldo</v>
      </c>
      <c r="D19" s="903">
        <f ca="1">Maerz!AJ19</f>
        <v>0</v>
      </c>
      <c r="E19" s="1050">
        <f ca="1">IF(E4&lt;&gt;"",IF(DATE($D$2,MONTH($C$2),E$4)&lt;=Eingabeblatt!$I$8,IF(OR(AND(E$86="JA",E14&gt;E16),AND(E86="JA",Eingabeblatt!$I$10="NEIN")),D19,D19+E18),IF(D19=0,0,IF(OR(COUNT(E7:E12,E22:E38)&gt;0,AND(COUNT(E7:E12,E22:E38)=0,E16=0)),IF(OR(AND(E$86="JA",E14&gt;E16),AND(E86="JA",Eingabeblatt!$I$10="NEIN")),D19,D19+E18),0))),D19)</f>
        <v>0</v>
      </c>
      <c r="F19" s="1051">
        <f ca="1">IF(F4&lt;&gt;"",IF(DATE($D$2,MONTH($C$2),F$4)&lt;=Eingabeblatt!$I$8,IF(OR(AND(F$86="JA",F14&gt;F16),AND(F86="JA",Eingabeblatt!$I$10="NEIN")),E19,E19+F18),IF(E19=0,0,IF(OR(COUNT(F7:F12,F22:F38)&gt;0,AND(COUNT(F7:F12,F22:F38)=0,F16=0)),IF(OR(AND(F$86="JA",F14&gt;F16),AND(F86="JA",Eingabeblatt!$I$10="NEIN")),E19,E19+F18),0))),E19)</f>
        <v>0</v>
      </c>
      <c r="G19" s="1051">
        <f ca="1">IF(G4&lt;&gt;"",IF(DATE($D$2,MONTH($C$2),G$4)&lt;=Eingabeblatt!$I$8,IF(OR(AND(G$86="JA",G14&gt;G16),AND(G86="JA",Eingabeblatt!$I$10="NEIN")),F19,F19+G18),IF(F19=0,0,IF(OR(COUNT(G7:G12,G22:G38)&gt;0,AND(COUNT(G7:G12,G22:G38)=0,G16=0)),IF(OR(AND(G$86="JA",G14&gt;G16),AND(G86="JA",Eingabeblatt!$I$10="NEIN")),F19,F19+G18),0))),F19)</f>
        <v>0</v>
      </c>
      <c r="H19" s="1051">
        <f ca="1">IF(H4&lt;&gt;"",IF(DATE($D$2,MONTH($C$2),H$4)&lt;=Eingabeblatt!$I$8,IF(OR(AND(H$86="JA",H14&gt;H16),AND(H86="JA",Eingabeblatt!$I$10="NEIN")),G19,G19+H18),IF(G19=0,0,IF(OR(COUNT(H7:H12,H22:H38)&gt;0,AND(COUNT(H7:H12,H22:H38)=0,H16=0)),IF(OR(AND(H$86="JA",H14&gt;H16),AND(H86="JA",Eingabeblatt!$I$10="NEIN")),G19,G19+H18),0))),G19)</f>
        <v>0</v>
      </c>
      <c r="I19" s="1051">
        <f ca="1">IF(I4&lt;&gt;"",IF(DATE($D$2,MONTH($C$2),I$4)&lt;=Eingabeblatt!$I$8,IF(OR(AND(I$86="JA",I14&gt;I16),AND(I86="JA",Eingabeblatt!$I$10="NEIN")),H19,H19+I18),IF(H19=0,0,IF(OR(COUNT(I7:I12,I22:I38)&gt;0,AND(COUNT(I7:I12,I22:I38)=0,I16=0)),IF(OR(AND(I$86="JA",I14&gt;I16),AND(I86="JA",Eingabeblatt!$I$10="NEIN")),H19,H19+I18),0))),H19)</f>
        <v>0</v>
      </c>
      <c r="J19" s="1051">
        <f ca="1">IF(J4&lt;&gt;"",IF(DATE($D$2,MONTH($C$2),J$4)&lt;=Eingabeblatt!$I$8,IF(OR(AND(J$86="JA",J14&gt;J16),AND(J86="JA",Eingabeblatt!$I$10="NEIN")),I19,I19+J18),IF(I19=0,0,IF(OR(COUNT(J7:J12,J22:J38)&gt;0,AND(COUNT(J7:J12,J22:J38)=0,J16=0)),IF(OR(AND(J$86="JA",J14&gt;J16),AND(J86="JA",Eingabeblatt!$I$10="NEIN")),I19,I19+J18),0))),I19)</f>
        <v>0</v>
      </c>
      <c r="K19" s="1051">
        <f ca="1">IF(K4&lt;&gt;"",IF(DATE($D$2,MONTH($C$2),K$4)&lt;=Eingabeblatt!$I$8,IF(OR(AND(K$86="JA",K14&gt;K16),AND(K86="JA",Eingabeblatt!$I$10="NEIN")),J19,J19+K18),IF(J19=0,0,IF(OR(COUNT(K7:K12,K22:K38)&gt;0,AND(COUNT(K7:K12,K22:K38)=0,K16=0)),IF(OR(AND(K$86="JA",K14&gt;K16),AND(K86="JA",Eingabeblatt!$I$10="NEIN")),J19,J19+K18),0))),J19)</f>
        <v>0</v>
      </c>
      <c r="L19" s="1051">
        <f ca="1">IF(L4&lt;&gt;"",IF(DATE($D$2,MONTH($C$2),L$4)&lt;=Eingabeblatt!$I$8,IF(OR(AND(L$86="JA",L14&gt;L16),AND(L86="JA",Eingabeblatt!$I$10="NEIN")),K19,K19+L18),IF(K19=0,0,IF(OR(COUNT(L7:L12,L22:L38)&gt;0,AND(COUNT(L7:L12,L22:L38)=0,L16=0)),IF(OR(AND(L$86="JA",L14&gt;L16),AND(L86="JA",Eingabeblatt!$I$10="NEIN")),K19,K19+L18),0))),K19)</f>
        <v>0</v>
      </c>
      <c r="M19" s="1051">
        <f ca="1">IF(M4&lt;&gt;"",IF(DATE($D$2,MONTH($C$2),M$4)&lt;=Eingabeblatt!$I$8,IF(OR(AND(M$86="JA",M14&gt;M16),AND(M86="JA",Eingabeblatt!$I$10="NEIN")),L19,L19+M18),IF(L19=0,0,IF(OR(COUNT(M7:M12,M22:M38)&gt;0,AND(COUNT(M7:M12,M22:M38)=0,M16=0)),IF(OR(AND(M$86="JA",M14&gt;M16),AND(M86="JA",Eingabeblatt!$I$10="NEIN")),L19,L19+M18),0))),L19)</f>
        <v>0</v>
      </c>
      <c r="N19" s="1051">
        <f ca="1">IF(N4&lt;&gt;"",IF(DATE($D$2,MONTH($C$2),N$4)&lt;=Eingabeblatt!$I$8,IF(OR(AND(N$86="JA",N14&gt;N16),AND(N86="JA",Eingabeblatt!$I$10="NEIN")),M19,M19+N18),IF(M19=0,0,IF(OR(COUNT(N7:N12,N22:N38)&gt;0,AND(COUNT(N7:N12,N22:N38)=0,N16=0)),IF(OR(AND(N$86="JA",N14&gt;N16),AND(N86="JA",Eingabeblatt!$I$10="NEIN")),M19,M19+N18),0))),M19)</f>
        <v>0</v>
      </c>
      <c r="O19" s="1051">
        <f ca="1">IF(O4&lt;&gt;"",IF(DATE($D$2,MONTH($C$2),O$4)&lt;=Eingabeblatt!$I$8,IF(OR(AND(O$86="JA",O14&gt;O16),AND(O86="JA",Eingabeblatt!$I$10="NEIN")),N19,N19+O18),IF(N19=0,0,IF(OR(COUNT(O7:O12,O22:O38)&gt;0,AND(COUNT(O7:O12,O22:O38)=0,O16=0)),IF(OR(AND(O$86="JA",O14&gt;O16),AND(O86="JA",Eingabeblatt!$I$10="NEIN")),N19,N19+O18),0))),N19)</f>
        <v>0</v>
      </c>
      <c r="P19" s="1051">
        <f ca="1">IF(P4&lt;&gt;"",IF(DATE($D$2,MONTH($C$2),P$4)&lt;=Eingabeblatt!$I$8,IF(OR(AND(P$86="JA",P14&gt;P16),AND(P86="JA",Eingabeblatt!$I$10="NEIN")),O19,O19+P18),IF(O19=0,0,IF(OR(COUNT(P7:P12,P22:P38)&gt;0,AND(COUNT(P7:P12,P22:P38)=0,P16=0)),IF(OR(AND(P$86="JA",P14&gt;P16),AND(P86="JA",Eingabeblatt!$I$10="NEIN")),O19,O19+P18),0))),O19)</f>
        <v>0</v>
      </c>
      <c r="Q19" s="1051">
        <f ca="1">IF(Q4&lt;&gt;"",IF(DATE($D$2,MONTH($C$2),Q$4)&lt;=Eingabeblatt!$I$8,IF(OR(AND(Q$86="JA",Q14&gt;Q16),AND(Q86="JA",Eingabeblatt!$I$10="NEIN")),P19,P19+Q18),IF(P19=0,0,IF(OR(COUNT(Q7:Q12,Q22:Q38)&gt;0,AND(COUNT(Q7:Q12,Q22:Q38)=0,Q16=0)),IF(OR(AND(Q$86="JA",Q14&gt;Q16),AND(Q86="JA",Eingabeblatt!$I$10="NEIN")),P19,P19+Q18),0))),P19)</f>
        <v>0</v>
      </c>
      <c r="R19" s="1051">
        <f ca="1">IF(R4&lt;&gt;"",IF(DATE($D$2,MONTH($C$2),R$4)&lt;=Eingabeblatt!$I$8,IF(OR(AND(R$86="JA",R14&gt;R16),AND(R86="JA",Eingabeblatt!$I$10="NEIN")),Q19,Q19+R18),IF(Q19=0,0,IF(OR(COUNT(R7:R12,R22:R38)&gt;0,AND(COUNT(R7:R12,R22:R38)=0,R16=0)),IF(OR(AND(R$86="JA",R14&gt;R16),AND(R86="JA",Eingabeblatt!$I$10="NEIN")),Q19,Q19+R18),0))),Q19)</f>
        <v>0</v>
      </c>
      <c r="S19" s="1051">
        <f ca="1">IF(S4&lt;&gt;"",IF(DATE($D$2,MONTH($C$2),S$4)&lt;=Eingabeblatt!$I$8,IF(OR(AND(S$86="JA",S14&gt;S16),AND(S86="JA",Eingabeblatt!$I$10="NEIN")),R19,R19+S18),IF(R19=0,0,IF(OR(COUNT(S7:S12,S22:S38)&gt;0,AND(COUNT(S7:S12,S22:S38)=0,S16=0)),IF(OR(AND(S$86="JA",S14&gt;S16),AND(S86="JA",Eingabeblatt!$I$10="NEIN")),R19,R19+S18),0))),R19)</f>
        <v>0</v>
      </c>
      <c r="T19" s="1051">
        <f ca="1">IF(T4&lt;&gt;"",IF(DATE($D$2,MONTH($C$2),T$4)&lt;=Eingabeblatt!$I$8,IF(OR(AND(T$86="JA",T14&gt;T16),AND(T86="JA",Eingabeblatt!$I$10="NEIN")),S19,S19+T18),IF(S19=0,0,IF(OR(COUNT(T7:T12,T22:T38)&gt;0,AND(COUNT(T7:T12,T22:T38)=0,T16=0)),IF(OR(AND(T$86="JA",T14&gt;T16),AND(T86="JA",Eingabeblatt!$I$10="NEIN")),S19,S19+T18),0))),S19)</f>
        <v>0</v>
      </c>
      <c r="U19" s="1051">
        <f ca="1">IF(U4&lt;&gt;"",IF(DATE($D$2,MONTH($C$2),U$4)&lt;=Eingabeblatt!$I$8,IF(OR(AND(U$86="JA",U14&gt;U16),AND(U86="JA",Eingabeblatt!$I$10="NEIN")),T19,T19+U18),IF(T19=0,0,IF(OR(COUNT(U7:U12,U22:U38)&gt;0,AND(COUNT(U7:U12,U22:U38)=0,U16=0)),IF(OR(AND(U$86="JA",U14&gt;U16),AND(U86="JA",Eingabeblatt!$I$10="NEIN")),T19,T19+U18),0))),T19)</f>
        <v>0</v>
      </c>
      <c r="V19" s="1051">
        <f ca="1">IF(V4&lt;&gt;"",IF(DATE($D$2,MONTH($C$2),V$4)&lt;=Eingabeblatt!$I$8,IF(OR(AND(V$86="JA",V14&gt;V16),AND(V86="JA",Eingabeblatt!$I$10="NEIN")),U19,U19+V18),IF(U19=0,0,IF(OR(COUNT(V7:V12,V22:V38)&gt;0,AND(COUNT(V7:V12,V22:V38)=0,V16=0)),IF(OR(AND(V$86="JA",V14&gt;V16),AND(V86="JA",Eingabeblatt!$I$10="NEIN")),U19,U19+V18),0))),U19)</f>
        <v>0</v>
      </c>
      <c r="W19" s="1051">
        <f ca="1">IF(W4&lt;&gt;"",IF(DATE($D$2,MONTH($C$2),W$4)&lt;=Eingabeblatt!$I$8,IF(OR(AND(W$86="JA",W14&gt;W16),AND(W86="JA",Eingabeblatt!$I$10="NEIN")),V19,V19+W18),IF(V19=0,0,IF(OR(COUNT(W7:W12,W22:W38)&gt;0,AND(COUNT(W7:W12,W22:W38)=0,W16=0)),IF(OR(AND(W$86="JA",W14&gt;W16),AND(W86="JA",Eingabeblatt!$I$10="NEIN")),V19,V19+W18),0))),V19)</f>
        <v>0</v>
      </c>
      <c r="X19" s="1051">
        <f ca="1">IF(X4&lt;&gt;"",IF(DATE($D$2,MONTH($C$2),X$4)&lt;=Eingabeblatt!$I$8,IF(OR(AND(X$86="JA",X14&gt;X16),AND(X86="JA",Eingabeblatt!$I$10="NEIN")),W19,W19+X18),IF(W19=0,0,IF(OR(COUNT(X7:X12,X22:X38)&gt;0,AND(COUNT(X7:X12,X22:X38)=0,X16=0)),IF(OR(AND(X$86="JA",X14&gt;X16),AND(X86="JA",Eingabeblatt!$I$10="NEIN")),W19,W19+X18),0))),W19)</f>
        <v>0</v>
      </c>
      <c r="Y19" s="1051">
        <f ca="1">IF(Y4&lt;&gt;"",IF(DATE($D$2,MONTH($C$2),Y$4)&lt;=Eingabeblatt!$I$8,IF(OR(AND(Y$86="JA",Y14&gt;Y16),AND(Y86="JA",Eingabeblatt!$I$10="NEIN")),X19,X19+Y18),IF(X19=0,0,IF(OR(COUNT(Y7:Y12,Y22:Y38)&gt;0,AND(COUNT(Y7:Y12,Y22:Y38)=0,Y16=0)),IF(OR(AND(Y$86="JA",Y14&gt;Y16),AND(Y86="JA",Eingabeblatt!$I$10="NEIN")),X19,X19+Y18),0))),X19)</f>
        <v>0</v>
      </c>
      <c r="Z19" s="1051">
        <f ca="1">IF(Z4&lt;&gt;"",IF(DATE($D$2,MONTH($C$2),Z$4)&lt;=Eingabeblatt!$I$8,IF(OR(AND(Z$86="JA",Z14&gt;Z16),AND(Z86="JA",Eingabeblatt!$I$10="NEIN")),Y19,Y19+Z18),IF(Y19=0,0,IF(OR(COUNT(Z7:Z12,Z22:Z38)&gt;0,AND(COUNT(Z7:Z12,Z22:Z38)=0,Z16=0)),IF(OR(AND(Z$86="JA",Z14&gt;Z16),AND(Z86="JA",Eingabeblatt!$I$10="NEIN")),Y19,Y19+Z18),0))),Y19)</f>
        <v>0</v>
      </c>
      <c r="AA19" s="1051">
        <f ca="1">IF(AA4&lt;&gt;"",IF(DATE($D$2,MONTH($C$2),AA$4)&lt;=Eingabeblatt!$I$8,IF(OR(AND(AA$86="JA",AA14&gt;AA16),AND(AA86="JA",Eingabeblatt!$I$10="NEIN")),Z19,Z19+AA18),IF(Z19=0,0,IF(OR(COUNT(AA7:AA12,AA22:AA38)&gt;0,AND(COUNT(AA7:AA12,AA22:AA38)=0,AA16=0)),IF(OR(AND(AA$86="JA",AA14&gt;AA16),AND(AA86="JA",Eingabeblatt!$I$10="NEIN")),Z19,Z19+AA18),0))),Z19)</f>
        <v>0</v>
      </c>
      <c r="AB19" s="1051">
        <f ca="1">IF(AB4&lt;&gt;"",IF(DATE($D$2,MONTH($C$2),AB$4)&lt;=Eingabeblatt!$I$8,IF(OR(AND(AB$86="JA",AB14&gt;AB16),AND(AB86="JA",Eingabeblatt!$I$10="NEIN")),AA19,AA19+AB18),IF(AA19=0,0,IF(OR(COUNT(AB7:AB12,AB22:AB38)&gt;0,AND(COUNT(AB7:AB12,AB22:AB38)=0,AB16=0)),IF(OR(AND(AB$86="JA",AB14&gt;AB16),AND(AB86="JA",Eingabeblatt!$I$10="NEIN")),AA19,AA19+AB18),0))),AA19)</f>
        <v>0</v>
      </c>
      <c r="AC19" s="1051">
        <f ca="1">IF(AC4&lt;&gt;"",IF(DATE($D$2,MONTH($C$2),AC$4)&lt;=Eingabeblatt!$I$8,IF(OR(AND(AC$86="JA",AC14&gt;AC16),AND(AC86="JA",Eingabeblatt!$I$10="NEIN")),AB19,AB19+AC18),IF(AB19=0,0,IF(OR(COUNT(AC7:AC12,AC22:AC38)&gt;0,AND(COUNT(AC7:AC12,AC22:AC38)=0,AC16=0)),IF(OR(AND(AC$86="JA",AC14&gt;AC16),AND(AC86="JA",Eingabeblatt!$I$10="NEIN")),AB19,AB19+AC18),0))),AB19)</f>
        <v>0</v>
      </c>
      <c r="AD19" s="1051">
        <f ca="1">IF(AD4&lt;&gt;"",IF(DATE($D$2,MONTH($C$2),AD$4)&lt;=Eingabeblatt!$I$8,IF(OR(AND(AD$86="JA",AD14&gt;AD16),AND(AD86="JA",Eingabeblatt!$I$10="NEIN")),AC19,AC19+AD18),IF(AC19=0,0,IF(OR(COUNT(AD7:AD12,AD22:AD38)&gt;0,AND(COUNT(AD7:AD12,AD22:AD38)=0,AD16=0)),IF(OR(AND(AD$86="JA",AD14&gt;AD16),AND(AD86="JA",Eingabeblatt!$I$10="NEIN")),AC19,AC19+AD18),0))),AC19)</f>
        <v>0</v>
      </c>
      <c r="AE19" s="1051">
        <f ca="1">IF(AE4&lt;&gt;"",IF(DATE($D$2,MONTH($C$2),AE$4)&lt;=Eingabeblatt!$I$8,IF(OR(AND(AE$86="JA",AE14&gt;AE16),AND(AE86="JA",Eingabeblatt!$I$10="NEIN")),AD19,AD19+AE18),IF(AD19=0,0,IF(OR(COUNT(AE7:AE12,AE22:AE38)&gt;0,AND(COUNT(AE7:AE12,AE22:AE38)=0,AE16=0)),IF(OR(AND(AE$86="JA",AE14&gt;AE16),AND(AE86="JA",Eingabeblatt!$I$10="NEIN")),AD19,AD19+AE18),0))),AD19)</f>
        <v>0</v>
      </c>
      <c r="AF19" s="1051">
        <f ca="1">IF(AF4&lt;&gt;"",IF(DATE($D$2,MONTH($C$2),AF$4)&lt;=Eingabeblatt!$I$8,IF(OR(AND(AF$86="JA",AF14&gt;AF16),AND(AF86="JA",Eingabeblatt!$I$10="NEIN")),AE19,AE19+AF18),IF(AE19=0,0,IF(OR(COUNT(AF7:AF12,AF22:AF38)&gt;0,AND(COUNT(AF7:AF12,AF22:AF38)=0,AF16=0)),IF(OR(AND(AF$86="JA",AF14&gt;AF16),AND(AF86="JA",Eingabeblatt!$I$10="NEIN")),AE19,AE19+AF18),0))),AE19)</f>
        <v>0</v>
      </c>
      <c r="AG19" s="1051">
        <f ca="1">IF(AG4&lt;&gt;"",IF(DATE($D$2,MONTH($C$2),AG$4)&lt;=Eingabeblatt!$I$8,IF(OR(AND(AG$86="JA",AG14&gt;AG16),AND(AG86="JA",Eingabeblatt!$I$10="NEIN")),AF19,AF19+AG18),IF(AF19=0,0,IF(OR(COUNT(AG7:AG12,AG22:AG38)&gt;0,AND(COUNT(AG7:AG12,AG22:AG38)=0,AG16=0)),IF(OR(AND(AG$86="JA",AG14&gt;AG16),AND(AG86="JA",Eingabeblatt!$I$10="NEIN")),AF19,AF19+AG18),0))),AF19)</f>
        <v>0</v>
      </c>
      <c r="AH19" s="1051">
        <f ca="1">IF(AH4&lt;&gt;"",IF(DATE($D$2,MONTH($C$2),AH$4)&lt;=Eingabeblatt!$I$8,IF(OR(AND(AH$86="JA",AH14&gt;AH16),AND(AH86="JA",Eingabeblatt!$I$10="NEIN")),AG19,AG19+AH18),IF(AG19=0,0,IF(OR(COUNT(AH7:AH12,AH22:AH38)&gt;0,AND(COUNT(AH7:AH12,AH22:AH38)=0,AH16=0)),IF(OR(AND(AH$86="JA",AH14&gt;AH16),AND(AH86="JA",Eingabeblatt!$I$10="NEIN")),AG19,AG19+AH18),0))),AG19)</f>
        <v>0</v>
      </c>
      <c r="AI19" s="1052">
        <f ca="1">IF(AI4&lt;&gt;"",IF(DATE($D$2,MONTH($C$2),AI$4)&lt;=Eingabeblatt!$I$8,IF(OR(AND(AI$86="JA",AI14&gt;AI16),AND(AI86="JA",Eingabeblatt!$I$10="NEIN")),AH19,AH19+AI18),IF(AH19=0,0,IF(OR(COUNT(AI7:AI12,AI22:AI38)&gt;0,AND(COUNT(AI7:AI12,AI22:AI38)=0,AI16=0)),IF(OR(AND(AI$86="JA",AI14&gt;AI16),AND(AI86="JA",Eingabeblatt!$I$10="NEIN")),AH19,AH19+AI18),0))),AH19)</f>
        <v>0</v>
      </c>
      <c r="AJ19" s="1053">
        <f ca="1">AI19</f>
        <v>0</v>
      </c>
      <c r="AK19" s="904">
        <f ca="1">AI19</f>
        <v>0</v>
      </c>
      <c r="AL19" s="905" t="s">
        <v>422</v>
      </c>
      <c r="AM19" s="905"/>
      <c r="AN19" s="906"/>
      <c r="AO19" s="781"/>
      <c r="AP19" s="781"/>
      <c r="AQ19" s="781"/>
      <c r="AR19" s="781"/>
      <c r="AS19" s="907"/>
      <c r="AT19" s="781"/>
    </row>
    <row r="20" spans="1:46" ht="22.5" hidden="1" customHeight="1" outlineLevel="1" x14ac:dyDescent="0.2">
      <c r="B20" s="143"/>
      <c r="C20" s="953" t="str">
        <f>Januar!C20</f>
        <v>Feiertagssaldo</v>
      </c>
      <c r="D20" s="954">
        <f>Maerz!AJ20</f>
        <v>0</v>
      </c>
      <c r="E20" s="955">
        <f t="shared" ref="E20:AI20" si="9">IF(VLOOKUP(DATE($D$2,MONTH($C$2),E$4),Ferienanspruch,3,TRUE)=100,D20-E21,IF(VLOOKUP(DATE($D$2,MONTH($C$2),E$4),Feiertagsanspruch,6,TRUE)*24&lt;Normtagesarbeitszeit*24,IF((E17-E15)&lt;0,D20-E21+(E15-E17),IF(E17&gt;0,D20-E21,D20-E21+E15)),IF((E17-E15)&lt;0,D20-E21+(E15-E17),IF(E17&gt;0,D20-E21,D20-E21+E15))))</f>
        <v>0</v>
      </c>
      <c r="F20" s="956">
        <f t="shared" si="9"/>
        <v>0</v>
      </c>
      <c r="G20" s="956">
        <f t="shared" si="9"/>
        <v>0</v>
      </c>
      <c r="H20" s="956">
        <f t="shared" si="9"/>
        <v>0</v>
      </c>
      <c r="I20" s="956">
        <f t="shared" si="9"/>
        <v>0</v>
      </c>
      <c r="J20" s="956">
        <f t="shared" si="9"/>
        <v>0</v>
      </c>
      <c r="K20" s="956">
        <f t="shared" si="9"/>
        <v>0</v>
      </c>
      <c r="L20" s="956">
        <f t="shared" si="9"/>
        <v>0</v>
      </c>
      <c r="M20" s="956">
        <f t="shared" si="9"/>
        <v>0</v>
      </c>
      <c r="N20" s="956">
        <f t="shared" si="9"/>
        <v>0</v>
      </c>
      <c r="O20" s="956">
        <f t="shared" si="9"/>
        <v>0</v>
      </c>
      <c r="P20" s="956">
        <f t="shared" si="9"/>
        <v>0</v>
      </c>
      <c r="Q20" s="956">
        <f t="shared" si="9"/>
        <v>0</v>
      </c>
      <c r="R20" s="956">
        <f t="shared" si="9"/>
        <v>0</v>
      </c>
      <c r="S20" s="956">
        <f t="shared" si="9"/>
        <v>0</v>
      </c>
      <c r="T20" s="956">
        <f t="shared" si="9"/>
        <v>0</v>
      </c>
      <c r="U20" s="956">
        <f t="shared" si="9"/>
        <v>0</v>
      </c>
      <c r="V20" s="956">
        <f t="shared" si="9"/>
        <v>0</v>
      </c>
      <c r="W20" s="956">
        <f t="shared" si="9"/>
        <v>0</v>
      </c>
      <c r="X20" s="956">
        <f t="shared" si="9"/>
        <v>0</v>
      </c>
      <c r="Y20" s="956">
        <f t="shared" si="9"/>
        <v>0</v>
      </c>
      <c r="Z20" s="956">
        <f t="shared" si="9"/>
        <v>0</v>
      </c>
      <c r="AA20" s="956">
        <f t="shared" si="9"/>
        <v>0</v>
      </c>
      <c r="AB20" s="956">
        <f t="shared" si="9"/>
        <v>0</v>
      </c>
      <c r="AC20" s="956">
        <f t="shared" si="9"/>
        <v>0</v>
      </c>
      <c r="AD20" s="956">
        <f t="shared" si="9"/>
        <v>0</v>
      </c>
      <c r="AE20" s="956">
        <f t="shared" si="9"/>
        <v>0</v>
      </c>
      <c r="AF20" s="956">
        <f t="shared" si="9"/>
        <v>0</v>
      </c>
      <c r="AG20" s="956">
        <f t="shared" si="9"/>
        <v>0</v>
      </c>
      <c r="AH20" s="956">
        <f t="shared" si="9"/>
        <v>0</v>
      </c>
      <c r="AI20" s="957">
        <f t="shared" si="9"/>
        <v>0</v>
      </c>
      <c r="AJ20" s="142">
        <f>AI20</f>
        <v>0</v>
      </c>
      <c r="AK20" s="912">
        <f>AJ20</f>
        <v>0</v>
      </c>
      <c r="AL20" s="141" t="s">
        <v>423</v>
      </c>
      <c r="AM20" s="91"/>
      <c r="AN20" s="113"/>
      <c r="AO20" s="113"/>
      <c r="AP20" s="113"/>
      <c r="AQ20" s="89"/>
      <c r="AR20" s="89"/>
    </row>
    <row r="21" spans="1:46" s="88" customFormat="1" hidden="1" outlineLevel="1" x14ac:dyDescent="0.2">
      <c r="A21" s="88" t="s">
        <v>424</v>
      </c>
      <c r="B21" s="143"/>
      <c r="C21" s="1054" t="str">
        <f>Januar!C21</f>
        <v>Komp.Feiertg.f.Teilzeiter</v>
      </c>
      <c r="D21" s="1055"/>
      <c r="E21" s="1056"/>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8"/>
      <c r="AJ21" s="1059">
        <f>SUM(D21:AI21)</f>
        <v>0</v>
      </c>
      <c r="AK21" s="1060">
        <f>AJ21</f>
        <v>0</v>
      </c>
      <c r="AL21" s="144" t="s">
        <v>359</v>
      </c>
      <c r="AM21" s="145"/>
      <c r="AN21" s="146"/>
      <c r="AO21" s="146"/>
      <c r="AP21" s="146"/>
      <c r="AQ21" s="147"/>
      <c r="AR21" s="147"/>
      <c r="AT21" s="8"/>
    </row>
    <row r="22" spans="1:46" s="88" customFormat="1" collapsed="1" x14ac:dyDescent="0.2">
      <c r="A22" s="148"/>
      <c r="B22" s="143"/>
      <c r="C22" s="149" t="str">
        <f>Januar!C22</f>
        <v>Ferienbezug</v>
      </c>
      <c r="D22" s="150">
        <f>Maerz!AK22</f>
        <v>8.0500000000000007</v>
      </c>
      <c r="E22" s="913"/>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322"/>
      <c r="AJ22" s="151">
        <f>SUM(E22:AI22)</f>
        <v>0</v>
      </c>
      <c r="AK22" s="152">
        <f>ROUND(D22-AJ22,8)</f>
        <v>8.0500000000000007</v>
      </c>
      <c r="AL22" s="144" t="s">
        <v>425</v>
      </c>
      <c r="AM22" s="145" t="s">
        <v>426</v>
      </c>
      <c r="AN22" s="146"/>
      <c r="AO22" s="146"/>
      <c r="AP22" s="146"/>
      <c r="AQ22" s="147"/>
      <c r="AR22" s="147"/>
    </row>
    <row r="23" spans="1:46" s="88" customFormat="1" ht="22.5" hidden="1" customHeight="1" outlineLevel="1" x14ac:dyDescent="0.2">
      <c r="A23" s="148"/>
      <c r="B23" s="153">
        <f>Eingabeblatt!E29</f>
        <v>0</v>
      </c>
      <c r="C23" s="154" t="str">
        <f>Januar!C23</f>
        <v>Kompens. Arbeitszeit</v>
      </c>
      <c r="D23" s="155">
        <f>Maerz!AK23</f>
        <v>0</v>
      </c>
      <c r="E23" s="913"/>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322"/>
      <c r="AJ23" s="151">
        <f>SUM(E23:AI23)</f>
        <v>0</v>
      </c>
      <c r="AK23" s="152">
        <f>IF(B23="",0,ROUND(B23+D23-AJ23,8))</f>
        <v>0</v>
      </c>
      <c r="AL23" s="144" t="s">
        <v>425</v>
      </c>
      <c r="AM23" s="145"/>
      <c r="AN23" s="146"/>
      <c r="AO23" s="692"/>
      <c r="AP23" s="146"/>
      <c r="AQ23" s="147"/>
      <c r="AR23" s="147"/>
    </row>
    <row r="24" spans="1:46" s="88" customFormat="1" ht="22.5" hidden="1" customHeight="1" outlineLevel="1" x14ac:dyDescent="0.2">
      <c r="A24" s="148" t="s">
        <v>424</v>
      </c>
      <c r="B24" s="156"/>
      <c r="C24" s="154" t="str">
        <f>Januar!C24</f>
        <v>Kompens. Überzeit</v>
      </c>
      <c r="D24" s="150">
        <f>Maerz!AK24</f>
        <v>0</v>
      </c>
      <c r="E24" s="913"/>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322"/>
      <c r="AJ24" s="151">
        <f>SUM(E24:AI24)</f>
        <v>0</v>
      </c>
      <c r="AK24" s="152">
        <f>ROUND(D24+AJ85-AJ24,8)</f>
        <v>0</v>
      </c>
      <c r="AL24" s="157" t="s">
        <v>428</v>
      </c>
      <c r="AM24" s="145" t="s">
        <v>429</v>
      </c>
      <c r="AN24" s="146"/>
      <c r="AO24" s="692"/>
      <c r="AP24" s="146"/>
      <c r="AQ24" s="147"/>
      <c r="AR24" s="147"/>
    </row>
    <row r="25" spans="1:46" s="88" customFormat="1" collapsed="1" x14ac:dyDescent="0.2">
      <c r="A25" s="148"/>
      <c r="B25" s="156"/>
      <c r="C25" s="154" t="str">
        <f>Januar!C25</f>
        <v>Krankheit</v>
      </c>
      <c r="D25" s="158">
        <f>Maerz!AK25</f>
        <v>0</v>
      </c>
      <c r="E25" s="913"/>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322"/>
      <c r="AJ25" s="151">
        <f>SUM(E25:AI25)</f>
        <v>0</v>
      </c>
      <c r="AK25" s="152">
        <f t="shared" ref="AK25:AK30" si="10">ROUND(B25+D25+AJ25,8)</f>
        <v>0</v>
      </c>
      <c r="AL25" s="144" t="s">
        <v>359</v>
      </c>
      <c r="AM25" s="145"/>
      <c r="AN25" s="146"/>
      <c r="AO25" s="146"/>
      <c r="AP25" s="147"/>
      <c r="AQ25" s="147"/>
      <c r="AR25" s="147"/>
    </row>
    <row r="26" spans="1:46" s="88" customFormat="1" x14ac:dyDescent="0.2">
      <c r="A26" s="148"/>
      <c r="B26" s="156"/>
      <c r="C26" s="154" t="str">
        <f>Januar!C26</f>
        <v>Unfall</v>
      </c>
      <c r="D26" s="158">
        <f>Maerz!AK26</f>
        <v>0</v>
      </c>
      <c r="E26" s="913"/>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322"/>
      <c r="AJ26" s="151">
        <f>SUM(E26:AI26)</f>
        <v>0</v>
      </c>
      <c r="AK26" s="152">
        <f t="shared" si="10"/>
        <v>0</v>
      </c>
      <c r="AL26" s="144" t="s">
        <v>359</v>
      </c>
      <c r="AM26" s="145" t="s">
        <v>430</v>
      </c>
      <c r="AN26" s="146"/>
      <c r="AO26" s="146"/>
      <c r="AP26" s="146"/>
      <c r="AQ26" s="147"/>
      <c r="AR26" s="147"/>
    </row>
    <row r="27" spans="1:46" s="88" customFormat="1" x14ac:dyDescent="0.2">
      <c r="A27" s="148"/>
      <c r="B27" s="156"/>
      <c r="C27" s="154" t="str">
        <f>Januar!C27</f>
        <v>Militär / Zivildienst</v>
      </c>
      <c r="D27" s="158">
        <f>Maerz!AK27</f>
        <v>0</v>
      </c>
      <c r="E27" s="913"/>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322"/>
      <c r="AJ27" s="151">
        <f t="shared" ref="AJ27:AJ35" si="11">SUM(E27:AI27)</f>
        <v>0</v>
      </c>
      <c r="AK27" s="152">
        <f t="shared" si="10"/>
        <v>0</v>
      </c>
      <c r="AL27" s="144" t="s">
        <v>359</v>
      </c>
      <c r="AM27" s="145"/>
      <c r="AN27" s="146"/>
      <c r="AO27" s="146"/>
      <c r="AP27" s="147"/>
      <c r="AQ27" s="147"/>
      <c r="AR27" s="147"/>
    </row>
    <row r="28" spans="1:46" s="88" customFormat="1" ht="22.5" hidden="1" customHeight="1" outlineLevel="2" x14ac:dyDescent="0.2">
      <c r="A28" s="148" t="s">
        <v>424</v>
      </c>
      <c r="B28" s="156"/>
      <c r="C28" s="154" t="str">
        <f>Januar!C28</f>
        <v>Nichtberufsunfall</v>
      </c>
      <c r="D28" s="158">
        <f>Maerz!AK28</f>
        <v>0</v>
      </c>
      <c r="E28" s="913"/>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322"/>
      <c r="AJ28" s="151">
        <f t="shared" si="11"/>
        <v>0</v>
      </c>
      <c r="AK28" s="152">
        <f t="shared" si="10"/>
        <v>0</v>
      </c>
      <c r="AL28" s="157" t="s">
        <v>359</v>
      </c>
      <c r="AM28" s="145"/>
      <c r="AN28" s="146"/>
      <c r="AO28" s="692"/>
      <c r="AP28" s="146"/>
      <c r="AQ28" s="147"/>
      <c r="AR28" s="147"/>
    </row>
    <row r="29" spans="1:46" s="88" customFormat="1" collapsed="1" x14ac:dyDescent="0.2">
      <c r="A29" s="148"/>
      <c r="B29" s="156"/>
      <c r="C29" s="154" t="str">
        <f>Januar!C29</f>
        <v>Weiterbildung</v>
      </c>
      <c r="D29" s="158">
        <f>Maerz!AK29</f>
        <v>0</v>
      </c>
      <c r="E29" s="913"/>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322"/>
      <c r="AJ29" s="151">
        <f t="shared" si="11"/>
        <v>0</v>
      </c>
      <c r="AK29" s="152">
        <f t="shared" si="10"/>
        <v>0</v>
      </c>
      <c r="AL29" s="144" t="s">
        <v>359</v>
      </c>
      <c r="AM29" s="145"/>
      <c r="AN29" s="146"/>
      <c r="AO29" s="146"/>
      <c r="AP29" s="147"/>
      <c r="AQ29" s="147"/>
      <c r="AR29" s="147"/>
    </row>
    <row r="30" spans="1:46" s="88" customFormat="1" x14ac:dyDescent="0.2">
      <c r="A30" s="148"/>
      <c r="B30" s="156"/>
      <c r="C30" s="154" t="str">
        <f>Januar!C30</f>
        <v>Unbezahlter Urlaub</v>
      </c>
      <c r="D30" s="158">
        <f>Maerz!AK30</f>
        <v>0</v>
      </c>
      <c r="E30" s="913"/>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322"/>
      <c r="AJ30" s="151">
        <f t="shared" si="11"/>
        <v>0</v>
      </c>
      <c r="AK30" s="152">
        <f t="shared" si="10"/>
        <v>0</v>
      </c>
      <c r="AL30" s="144" t="s">
        <v>359</v>
      </c>
      <c r="AM30" s="145"/>
      <c r="AN30" s="146"/>
      <c r="AO30" s="146"/>
      <c r="AP30" s="147"/>
      <c r="AQ30" s="147"/>
      <c r="AR30" s="147"/>
    </row>
    <row r="31" spans="1:46" s="88" customFormat="1" x14ac:dyDescent="0.2">
      <c r="A31" s="148"/>
      <c r="B31" s="159">
        <f>IF(Eingabeblatt!C183="OK",Eingabeblatt!A183,"  Fehler")</f>
        <v>0</v>
      </c>
      <c r="C31" s="154" t="str">
        <f>Januar!C31</f>
        <v>Bezahlter Urlaub</v>
      </c>
      <c r="D31" s="158">
        <f>Maerz!AK31</f>
        <v>0</v>
      </c>
      <c r="E31" s="913"/>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322"/>
      <c r="AJ31" s="151">
        <f t="shared" si="11"/>
        <v>0</v>
      </c>
      <c r="AK31" s="160">
        <f>ROUND(B31+D31-AJ31,8)</f>
        <v>0</v>
      </c>
      <c r="AL31" s="144" t="s">
        <v>425</v>
      </c>
      <c r="AM31" s="145"/>
      <c r="AN31" s="146"/>
      <c r="AO31" s="146"/>
      <c r="AP31" s="147"/>
      <c r="AQ31" s="147"/>
      <c r="AR31" s="147"/>
    </row>
    <row r="32" spans="1:46" s="88" customFormat="1" x14ac:dyDescent="0.2">
      <c r="A32" s="148"/>
      <c r="B32" s="159">
        <f>IF(Eingabeblatt!C184="OK",Eingabeblatt!A184,"  Fehler")</f>
        <v>0</v>
      </c>
      <c r="C32" s="161" t="str">
        <f>Januar!C32</f>
        <v>Kaderarbeitszeit</v>
      </c>
      <c r="D32" s="162">
        <f>Maerz!AK32</f>
        <v>0</v>
      </c>
      <c r="E32" s="914"/>
      <c r="F32" s="915"/>
      <c r="G32" s="915"/>
      <c r="H32" s="915"/>
      <c r="I32" s="915"/>
      <c r="J32" s="915"/>
      <c r="K32" s="915"/>
      <c r="L32" s="915"/>
      <c r="M32" s="915"/>
      <c r="N32" s="915"/>
      <c r="O32" s="915"/>
      <c r="P32" s="915"/>
      <c r="Q32" s="915"/>
      <c r="R32" s="915"/>
      <c r="S32" s="915"/>
      <c r="T32" s="915"/>
      <c r="U32" s="915"/>
      <c r="V32" s="915"/>
      <c r="W32" s="915"/>
      <c r="X32" s="915"/>
      <c r="Y32" s="915"/>
      <c r="Z32" s="915"/>
      <c r="AA32" s="915"/>
      <c r="AB32" s="915"/>
      <c r="AC32" s="915"/>
      <c r="AD32" s="915"/>
      <c r="AE32" s="915"/>
      <c r="AF32" s="915"/>
      <c r="AG32" s="915"/>
      <c r="AH32" s="915"/>
      <c r="AI32" s="916"/>
      <c r="AJ32" s="163">
        <f t="shared" si="11"/>
        <v>0</v>
      </c>
      <c r="AK32" s="164">
        <f>ROUND(B32+D32-AJ32,8)</f>
        <v>0</v>
      </c>
      <c r="AL32" s="157" t="s">
        <v>425</v>
      </c>
      <c r="AM32" s="145"/>
      <c r="AN32" s="146"/>
      <c r="AO32" s="146"/>
      <c r="AP32" s="146"/>
      <c r="AQ32" s="147"/>
      <c r="AR32" s="147"/>
    </row>
    <row r="33" spans="1:46" ht="22.5" hidden="1" customHeight="1" outlineLevel="1" x14ac:dyDescent="0.2">
      <c r="A33" s="165" t="s">
        <v>424</v>
      </c>
      <c r="B33" s="156">
        <f>IF(Eingabeblatt!C185="OK",Eingabeblatt!A185,"  Fehler")</f>
        <v>0</v>
      </c>
      <c r="C33" s="166" t="str">
        <f>Januar!C33</f>
        <v>Nebenbeschäftigung</v>
      </c>
      <c r="D33" s="162"/>
      <c r="E33" s="167"/>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9"/>
      <c r="AJ33" s="140">
        <f t="shared" si="11"/>
        <v>0</v>
      </c>
      <c r="AK33" s="917">
        <f>ROUND(B33+D33-AJ33,8)</f>
        <v>0</v>
      </c>
      <c r="AL33" s="157" t="s">
        <v>425</v>
      </c>
      <c r="AM33" s="91"/>
      <c r="AN33" s="113"/>
      <c r="AO33" s="692"/>
      <c r="AP33" s="113"/>
      <c r="AQ33" s="89"/>
      <c r="AR33" s="89"/>
      <c r="AT33" s="88"/>
    </row>
    <row r="34" spans="1:46" ht="22.5" hidden="1" customHeight="1" outlineLevel="1" x14ac:dyDescent="0.2">
      <c r="A34" s="165"/>
      <c r="B34" s="156">
        <f>IF(Eingabeblatt!C182="OK",Eingabeblatt!A182,"  Fehler")</f>
        <v>0</v>
      </c>
      <c r="C34" s="170" t="str">
        <f>Januar!C34</f>
        <v>D A G</v>
      </c>
      <c r="D34" s="162">
        <f>Maerz!AK34</f>
        <v>0</v>
      </c>
      <c r="E34" s="171"/>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3"/>
      <c r="AJ34" s="174">
        <f>SUM(E34:AI34)</f>
        <v>0</v>
      </c>
      <c r="AK34" s="152">
        <f>ROUND(B34+D34-AJ34,8)</f>
        <v>0</v>
      </c>
      <c r="AL34" s="157" t="s">
        <v>425</v>
      </c>
      <c r="AM34" s="91"/>
      <c r="AN34" s="113"/>
      <c r="AO34" s="692"/>
      <c r="AP34" s="113"/>
      <c r="AQ34" s="89"/>
      <c r="AR34" s="89"/>
    </row>
    <row r="35" spans="1:46" ht="22.5" hidden="1" customHeight="1" outlineLevel="1" x14ac:dyDescent="0.2">
      <c r="A35" s="165" t="s">
        <v>424</v>
      </c>
      <c r="B35" s="156"/>
      <c r="C35" s="170" t="str">
        <f>Januar!C35</f>
        <v>Diverses</v>
      </c>
      <c r="D35" s="162"/>
      <c r="E35" s="171"/>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c r="AJ35" s="174">
        <f t="shared" si="11"/>
        <v>0</v>
      </c>
      <c r="AK35" s="152">
        <f>ROUND(B35+D35+AJ35,8)</f>
        <v>0</v>
      </c>
      <c r="AL35" s="157" t="s">
        <v>359</v>
      </c>
      <c r="AM35" s="91"/>
      <c r="AN35" s="113"/>
      <c r="AO35" s="692"/>
      <c r="AP35" s="113"/>
      <c r="AQ35" s="89"/>
      <c r="AR35" s="89"/>
    </row>
    <row r="36" spans="1:46" ht="22.5" hidden="1" customHeight="1" outlineLevel="1" x14ac:dyDescent="0.2">
      <c r="A36" s="165" t="s">
        <v>424</v>
      </c>
      <c r="B36" s="156"/>
      <c r="C36" s="170" t="str">
        <f>Januar!C36</f>
        <v>freie Zeile 1</v>
      </c>
      <c r="D36" s="162"/>
      <c r="E36" s="171"/>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c r="AJ36" s="174">
        <f>SUM(E36:AI36)</f>
        <v>0</v>
      </c>
      <c r="AK36" s="152">
        <f>ROUND(B36+D36+AJ36,8)</f>
        <v>0</v>
      </c>
      <c r="AL36" s="157" t="s">
        <v>359</v>
      </c>
      <c r="AM36" s="91"/>
      <c r="AN36" s="113"/>
      <c r="AO36" s="692"/>
      <c r="AP36" s="113"/>
      <c r="AQ36" s="89"/>
      <c r="AR36" s="89"/>
    </row>
    <row r="37" spans="1:46" ht="22.5" hidden="1" customHeight="1" outlineLevel="1" x14ac:dyDescent="0.2">
      <c r="A37" s="165" t="s">
        <v>424</v>
      </c>
      <c r="B37" s="156"/>
      <c r="C37" s="170" t="str">
        <f>Januar!C37</f>
        <v>freie Zeile 2</v>
      </c>
      <c r="D37" s="162"/>
      <c r="E37" s="171"/>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3"/>
      <c r="AJ37" s="174">
        <f>SUM(E37:AI37)</f>
        <v>0</v>
      </c>
      <c r="AK37" s="152">
        <f>ROUND(B37+D37+AJ37,8)</f>
        <v>0</v>
      </c>
      <c r="AL37" s="157" t="s">
        <v>359</v>
      </c>
      <c r="AM37" s="91"/>
      <c r="AN37" s="113"/>
      <c r="AO37" s="692"/>
      <c r="AP37" s="113"/>
      <c r="AQ37" s="89"/>
      <c r="AR37" s="89"/>
    </row>
    <row r="38" spans="1:46" ht="22.5" hidden="1" customHeight="1" outlineLevel="1" x14ac:dyDescent="0.2">
      <c r="A38" s="165" t="s">
        <v>424</v>
      </c>
      <c r="B38" s="156"/>
      <c r="C38" s="175" t="str">
        <f>Januar!C38</f>
        <v>freie Zeile 3</v>
      </c>
      <c r="D38" s="162"/>
      <c r="E38" s="176"/>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8"/>
      <c r="AJ38" s="142">
        <f>SUM(E38:AI38)</f>
        <v>0</v>
      </c>
      <c r="AK38" s="912">
        <f>ROUND(B38+D38+AJ38,8)</f>
        <v>0</v>
      </c>
      <c r="AL38" s="157" t="s">
        <v>359</v>
      </c>
      <c r="AM38" s="91"/>
      <c r="AN38" s="113"/>
      <c r="AO38" s="692"/>
      <c r="AP38" s="113"/>
      <c r="AQ38" s="89"/>
      <c r="AR38" s="89"/>
    </row>
    <row r="39" spans="1:46" s="34" customFormat="1" hidden="1" outlineLevel="1" x14ac:dyDescent="0.2">
      <c r="A39" s="179"/>
      <c r="B39" s="180"/>
      <c r="C39" s="918" t="str">
        <f>Januar!C39</f>
        <v>Arbeitszeit aufgeteilt</v>
      </c>
      <c r="D39" s="1061"/>
      <c r="E39" s="1062">
        <f>ROUND(SUM(E41:E84),8)</f>
        <v>0</v>
      </c>
      <c r="F39" s="1063">
        <f>ROUND(SUM(F41:F84),8)</f>
        <v>0</v>
      </c>
      <c r="G39" s="1063">
        <f>ROUND(SUM(G41:G84),8)</f>
        <v>0</v>
      </c>
      <c r="H39" s="1063">
        <f t="shared" ref="H39:AI39" si="12">ROUND(SUM(H41:H84),8)</f>
        <v>0</v>
      </c>
      <c r="I39" s="1063">
        <f t="shared" si="12"/>
        <v>0</v>
      </c>
      <c r="J39" s="1063">
        <f t="shared" si="12"/>
        <v>0</v>
      </c>
      <c r="K39" s="1063">
        <f t="shared" si="12"/>
        <v>0</v>
      </c>
      <c r="L39" s="1063">
        <f t="shared" si="12"/>
        <v>0</v>
      </c>
      <c r="M39" s="1063">
        <f t="shared" si="12"/>
        <v>0</v>
      </c>
      <c r="N39" s="1063">
        <f t="shared" si="12"/>
        <v>0</v>
      </c>
      <c r="O39" s="1063">
        <f t="shared" si="12"/>
        <v>0</v>
      </c>
      <c r="P39" s="1063">
        <f t="shared" si="12"/>
        <v>0</v>
      </c>
      <c r="Q39" s="1063">
        <f t="shared" si="12"/>
        <v>0</v>
      </c>
      <c r="R39" s="1063">
        <f t="shared" si="12"/>
        <v>0</v>
      </c>
      <c r="S39" s="1063">
        <f t="shared" si="12"/>
        <v>0</v>
      </c>
      <c r="T39" s="1063">
        <f t="shared" si="12"/>
        <v>0</v>
      </c>
      <c r="U39" s="1063">
        <f t="shared" si="12"/>
        <v>0</v>
      </c>
      <c r="V39" s="1063">
        <f t="shared" si="12"/>
        <v>0</v>
      </c>
      <c r="W39" s="1063">
        <f t="shared" si="12"/>
        <v>0</v>
      </c>
      <c r="X39" s="1063">
        <f t="shared" si="12"/>
        <v>0</v>
      </c>
      <c r="Y39" s="1063">
        <f t="shared" si="12"/>
        <v>0</v>
      </c>
      <c r="Z39" s="1063">
        <f t="shared" si="12"/>
        <v>0</v>
      </c>
      <c r="AA39" s="1063">
        <f t="shared" si="12"/>
        <v>0</v>
      </c>
      <c r="AB39" s="1063">
        <f t="shared" si="12"/>
        <v>0</v>
      </c>
      <c r="AC39" s="1063">
        <f t="shared" si="12"/>
        <v>0</v>
      </c>
      <c r="AD39" s="1063">
        <f t="shared" si="12"/>
        <v>0</v>
      </c>
      <c r="AE39" s="1063">
        <f t="shared" si="12"/>
        <v>0</v>
      </c>
      <c r="AF39" s="1063">
        <f t="shared" si="12"/>
        <v>0</v>
      </c>
      <c r="AG39" s="1063">
        <f t="shared" si="12"/>
        <v>0</v>
      </c>
      <c r="AH39" s="1063">
        <f t="shared" si="12"/>
        <v>0</v>
      </c>
      <c r="AI39" s="1064">
        <f t="shared" si="12"/>
        <v>0</v>
      </c>
      <c r="AJ39" s="969"/>
      <c r="AK39" s="1065"/>
      <c r="AL39" s="13"/>
      <c r="AM39" s="181"/>
      <c r="AN39" s="182"/>
      <c r="AT39" s="8"/>
    </row>
    <row r="40" spans="1:46" s="34" customFormat="1" ht="42" customHeight="1" collapsed="1" x14ac:dyDescent="0.2">
      <c r="A40" s="179"/>
      <c r="B40" s="180"/>
      <c r="C40" s="919" t="str">
        <f>Januar!C40</f>
        <v>in folgenden Bereichen nicht oder zuviel aufgeteilte Arbeitszeit</v>
      </c>
      <c r="D40" s="920"/>
      <c r="E40" s="921">
        <f t="shared" ref="E40:AI40" si="13">ROUND(IF(E13=E39,0,IF(E13&lt;&gt;0,E13-E39,0)),8)</f>
        <v>0</v>
      </c>
      <c r="F40" s="922">
        <f t="shared" si="13"/>
        <v>0</v>
      </c>
      <c r="G40" s="922">
        <f t="shared" si="13"/>
        <v>0</v>
      </c>
      <c r="H40" s="922">
        <f t="shared" si="13"/>
        <v>0</v>
      </c>
      <c r="I40" s="922">
        <f t="shared" si="13"/>
        <v>0</v>
      </c>
      <c r="J40" s="922">
        <f t="shared" si="13"/>
        <v>0</v>
      </c>
      <c r="K40" s="922">
        <f t="shared" si="13"/>
        <v>0</v>
      </c>
      <c r="L40" s="922">
        <f t="shared" si="13"/>
        <v>0</v>
      </c>
      <c r="M40" s="922">
        <f t="shared" si="13"/>
        <v>0</v>
      </c>
      <c r="N40" s="922">
        <f t="shared" si="13"/>
        <v>0</v>
      </c>
      <c r="O40" s="922">
        <f t="shared" si="13"/>
        <v>0</v>
      </c>
      <c r="P40" s="922">
        <f t="shared" si="13"/>
        <v>0</v>
      </c>
      <c r="Q40" s="922">
        <f t="shared" si="13"/>
        <v>0</v>
      </c>
      <c r="R40" s="922">
        <f t="shared" si="13"/>
        <v>0</v>
      </c>
      <c r="S40" s="922">
        <f t="shared" si="13"/>
        <v>0</v>
      </c>
      <c r="T40" s="922">
        <f t="shared" si="13"/>
        <v>0</v>
      </c>
      <c r="U40" s="922">
        <f t="shared" si="13"/>
        <v>0</v>
      </c>
      <c r="V40" s="922">
        <f t="shared" si="13"/>
        <v>0</v>
      </c>
      <c r="W40" s="922">
        <f t="shared" si="13"/>
        <v>0</v>
      </c>
      <c r="X40" s="922">
        <f t="shared" si="13"/>
        <v>0</v>
      </c>
      <c r="Y40" s="922">
        <f t="shared" si="13"/>
        <v>0</v>
      </c>
      <c r="Z40" s="922">
        <f t="shared" si="13"/>
        <v>0</v>
      </c>
      <c r="AA40" s="922">
        <f t="shared" si="13"/>
        <v>0</v>
      </c>
      <c r="AB40" s="922">
        <f t="shared" si="13"/>
        <v>0</v>
      </c>
      <c r="AC40" s="922">
        <f t="shared" si="13"/>
        <v>0</v>
      </c>
      <c r="AD40" s="922">
        <f t="shared" si="13"/>
        <v>0</v>
      </c>
      <c r="AE40" s="922">
        <f t="shared" si="13"/>
        <v>0</v>
      </c>
      <c r="AF40" s="922">
        <f t="shared" si="13"/>
        <v>0</v>
      </c>
      <c r="AG40" s="922">
        <f t="shared" si="13"/>
        <v>0</v>
      </c>
      <c r="AH40" s="922">
        <f t="shared" si="13"/>
        <v>0</v>
      </c>
      <c r="AI40" s="923">
        <f t="shared" si="13"/>
        <v>0</v>
      </c>
      <c r="AJ40" s="183"/>
      <c r="AK40" s="924"/>
      <c r="AL40" s="13"/>
      <c r="AM40" s="181"/>
      <c r="AN40" s="182"/>
    </row>
    <row r="41" spans="1:46" s="37" customFormat="1" x14ac:dyDescent="0.2">
      <c r="A41" s="148"/>
      <c r="B41" s="1066" t="str">
        <f>ctArbeitsgebiete!A9</f>
        <v>A01</v>
      </c>
      <c r="C41" s="1067" t="str">
        <f>IF(ctArbeitsgebiete!B9&lt;&gt;"",ctArbeitsgebiete!B9,"")</f>
        <v/>
      </c>
      <c r="D41" s="1068"/>
      <c r="E41" s="1069"/>
      <c r="F41" s="1070"/>
      <c r="G41" s="1070"/>
      <c r="H41" s="1070"/>
      <c r="I41" s="1070"/>
      <c r="J41" s="1070"/>
      <c r="K41" s="1070"/>
      <c r="L41" s="1070"/>
      <c r="M41" s="1070"/>
      <c r="N41" s="1070"/>
      <c r="O41" s="1070"/>
      <c r="P41" s="1070"/>
      <c r="Q41" s="1070"/>
      <c r="R41" s="1070"/>
      <c r="S41" s="1070"/>
      <c r="T41" s="1070"/>
      <c r="U41" s="1070"/>
      <c r="V41" s="1070"/>
      <c r="W41" s="1070"/>
      <c r="X41" s="1070"/>
      <c r="Y41" s="1070"/>
      <c r="Z41" s="1070"/>
      <c r="AA41" s="1070"/>
      <c r="AB41" s="1070"/>
      <c r="AC41" s="1070"/>
      <c r="AD41" s="1070"/>
      <c r="AE41" s="1070"/>
      <c r="AF41" s="1070"/>
      <c r="AG41" s="1070"/>
      <c r="AH41" s="1070"/>
      <c r="AI41" s="1071"/>
      <c r="AJ41" s="1072">
        <f>SUM(E41:AI41)</f>
        <v>0</v>
      </c>
      <c r="AK41" s="152"/>
      <c r="AL41" s="146"/>
      <c r="AM41" s="147"/>
      <c r="AN41" s="147"/>
      <c r="AO41" s="147"/>
      <c r="AP41" s="147"/>
      <c r="AQ41" s="147"/>
      <c r="AR41" s="147"/>
      <c r="AS41" s="88"/>
      <c r="AT41" s="34"/>
    </row>
    <row r="42" spans="1:46" x14ac:dyDescent="0.2">
      <c r="A42" s="165"/>
      <c r="B42" s="185" t="str">
        <f>ctArbeitsgebiete!A10</f>
        <v>A02</v>
      </c>
      <c r="C42" s="186" t="str">
        <f>IF(ctArbeitsgebiete!B10&lt;&gt;"",ctArbeitsgebiete!B10,"")</f>
        <v/>
      </c>
      <c r="D42" s="187"/>
      <c r="E42" s="913"/>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322"/>
      <c r="AJ42" s="188">
        <f t="shared" ref="AJ42:AJ84" si="14">SUM(E42:AI42)</f>
        <v>0</v>
      </c>
      <c r="AK42" s="152"/>
      <c r="AL42" s="113"/>
      <c r="AM42" s="89"/>
      <c r="AN42" s="89"/>
      <c r="AO42" s="89"/>
      <c r="AP42" s="89"/>
      <c r="AQ42" s="89"/>
      <c r="AR42" s="89"/>
      <c r="AT42" s="88"/>
    </row>
    <row r="43" spans="1:46" x14ac:dyDescent="0.2">
      <c r="A43" s="165"/>
      <c r="B43" s="185" t="str">
        <f>ctArbeitsgebiete!A11</f>
        <v>A03</v>
      </c>
      <c r="C43" s="186" t="str">
        <f>IF(ctArbeitsgebiete!B11&lt;&gt;"",ctArbeitsgebiete!B11,"")</f>
        <v/>
      </c>
      <c r="D43" s="187"/>
      <c r="E43" s="913"/>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22"/>
      <c r="AJ43" s="188">
        <f t="shared" si="14"/>
        <v>0</v>
      </c>
      <c r="AK43" s="152"/>
      <c r="AL43" s="113"/>
      <c r="AM43" s="89"/>
      <c r="AN43" s="89"/>
      <c r="AO43" s="89"/>
      <c r="AP43" s="89"/>
      <c r="AQ43" s="89"/>
      <c r="AR43" s="89"/>
    </row>
    <row r="44" spans="1:46" x14ac:dyDescent="0.2">
      <c r="A44" s="165"/>
      <c r="B44" s="185" t="str">
        <f>ctArbeitsgebiete!A12</f>
        <v>A04</v>
      </c>
      <c r="C44" s="186" t="str">
        <f>IF(ctArbeitsgebiete!B12&lt;&gt;"",ctArbeitsgebiete!B12,"")</f>
        <v/>
      </c>
      <c r="D44" s="187"/>
      <c r="E44" s="913"/>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322"/>
      <c r="AJ44" s="188">
        <f t="shared" si="14"/>
        <v>0</v>
      </c>
      <c r="AK44" s="152"/>
      <c r="AL44" s="113"/>
      <c r="AM44" s="89"/>
      <c r="AN44" s="89"/>
      <c r="AO44" s="89"/>
      <c r="AP44" s="89"/>
      <c r="AQ44" s="89"/>
      <c r="AR44" s="89"/>
    </row>
    <row r="45" spans="1:46" x14ac:dyDescent="0.2">
      <c r="A45" s="165"/>
      <c r="B45" s="185" t="str">
        <f>ctArbeitsgebiete!A13</f>
        <v>A05</v>
      </c>
      <c r="C45" s="186" t="str">
        <f>IF(ctArbeitsgebiete!B13&lt;&gt;"",ctArbeitsgebiete!B13,"")</f>
        <v/>
      </c>
      <c r="D45" s="187"/>
      <c r="E45" s="913"/>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322"/>
      <c r="AJ45" s="188">
        <f t="shared" si="14"/>
        <v>0</v>
      </c>
      <c r="AK45" s="152"/>
      <c r="AL45" s="113"/>
      <c r="AM45" s="89"/>
      <c r="AN45" s="89"/>
      <c r="AO45" s="89"/>
      <c r="AP45" s="89"/>
      <c r="AQ45" s="89"/>
      <c r="AR45" s="89"/>
    </row>
    <row r="46" spans="1:46" x14ac:dyDescent="0.2">
      <c r="A46" s="165"/>
      <c r="B46" s="185" t="str">
        <f>ctArbeitsgebiete!A14</f>
        <v>A06</v>
      </c>
      <c r="C46" s="186" t="str">
        <f>IF(ctArbeitsgebiete!B14&lt;&gt;"",ctArbeitsgebiete!B14,"")</f>
        <v/>
      </c>
      <c r="D46" s="187"/>
      <c r="E46" s="913"/>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322"/>
      <c r="AJ46" s="188">
        <f t="shared" si="14"/>
        <v>0</v>
      </c>
      <c r="AK46" s="152"/>
      <c r="AL46" s="113"/>
      <c r="AM46" s="89"/>
      <c r="AN46" s="89"/>
      <c r="AO46" s="89"/>
      <c r="AP46" s="89"/>
      <c r="AQ46" s="89"/>
      <c r="AR46" s="89"/>
    </row>
    <row r="47" spans="1:46" x14ac:dyDescent="0.2">
      <c r="A47" s="165"/>
      <c r="B47" s="185" t="str">
        <f>ctArbeitsgebiete!A15</f>
        <v>A07</v>
      </c>
      <c r="C47" s="186" t="str">
        <f>IF(ctArbeitsgebiete!B15&lt;&gt;"",ctArbeitsgebiete!B15,"")</f>
        <v/>
      </c>
      <c r="D47" s="187"/>
      <c r="E47" s="913"/>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322"/>
      <c r="AJ47" s="188">
        <f t="shared" si="14"/>
        <v>0</v>
      </c>
      <c r="AK47" s="152"/>
      <c r="AL47" s="113"/>
      <c r="AM47" s="89"/>
      <c r="AN47" s="89"/>
      <c r="AO47" s="89"/>
      <c r="AP47" s="89"/>
      <c r="AQ47" s="89"/>
      <c r="AR47" s="89"/>
    </row>
    <row r="48" spans="1:46" x14ac:dyDescent="0.2">
      <c r="A48" s="165"/>
      <c r="B48" s="185" t="str">
        <f>ctArbeitsgebiete!A16</f>
        <v>A08</v>
      </c>
      <c r="C48" s="186" t="str">
        <f>IF(ctArbeitsgebiete!B16&lt;&gt;"",ctArbeitsgebiete!B16,"")</f>
        <v/>
      </c>
      <c r="D48" s="187"/>
      <c r="E48" s="913"/>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322"/>
      <c r="AJ48" s="188">
        <f t="shared" si="14"/>
        <v>0</v>
      </c>
      <c r="AK48" s="152"/>
      <c r="AL48" s="113"/>
      <c r="AM48" s="89"/>
      <c r="AN48" s="89"/>
      <c r="AO48" s="89"/>
      <c r="AP48" s="89"/>
      <c r="AQ48" s="89"/>
      <c r="AR48" s="89"/>
    </row>
    <row r="49" spans="1:44" x14ac:dyDescent="0.2">
      <c r="A49" s="165"/>
      <c r="B49" s="185" t="str">
        <f>ctArbeitsgebiete!A17</f>
        <v>A09</v>
      </c>
      <c r="C49" s="186" t="str">
        <f>IF(ctArbeitsgebiete!B17&lt;&gt;"",ctArbeitsgebiete!B17,"")</f>
        <v/>
      </c>
      <c r="D49" s="187"/>
      <c r="E49" s="913"/>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322"/>
      <c r="AJ49" s="188">
        <f t="shared" si="14"/>
        <v>0</v>
      </c>
      <c r="AK49" s="152"/>
      <c r="AL49" s="113"/>
      <c r="AM49" s="89"/>
      <c r="AN49" s="89"/>
      <c r="AO49" s="89"/>
      <c r="AP49" s="89"/>
      <c r="AQ49" s="89"/>
      <c r="AR49" s="89"/>
    </row>
    <row r="50" spans="1:44" x14ac:dyDescent="0.2">
      <c r="A50" s="165"/>
      <c r="B50" s="185" t="str">
        <f>ctArbeitsgebiete!A18</f>
        <v>A10</v>
      </c>
      <c r="C50" s="186" t="str">
        <f>IF(ctArbeitsgebiete!B18&lt;&gt;"",ctArbeitsgebiete!B18,"")</f>
        <v/>
      </c>
      <c r="D50" s="187"/>
      <c r="E50" s="913"/>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322"/>
      <c r="AJ50" s="188">
        <f t="shared" si="14"/>
        <v>0</v>
      </c>
      <c r="AK50" s="152"/>
      <c r="AL50" s="113"/>
      <c r="AM50" s="89"/>
      <c r="AN50" s="89"/>
      <c r="AO50" s="89"/>
      <c r="AP50" s="89"/>
      <c r="AQ50" s="89"/>
      <c r="AR50" s="89"/>
    </row>
    <row r="51" spans="1:44" x14ac:dyDescent="0.2">
      <c r="A51" s="165"/>
      <c r="B51" s="185" t="str">
        <f>ctArbeitsgebiete!A19</f>
        <v>A11</v>
      </c>
      <c r="C51" s="186" t="str">
        <f>IF(ctArbeitsgebiete!B19&lt;&gt;"",ctArbeitsgebiete!B19,"")</f>
        <v/>
      </c>
      <c r="D51" s="187"/>
      <c r="E51" s="913"/>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322"/>
      <c r="AJ51" s="188">
        <f t="shared" si="14"/>
        <v>0</v>
      </c>
      <c r="AK51" s="152"/>
      <c r="AL51" s="113"/>
      <c r="AM51" s="89"/>
      <c r="AN51" s="89"/>
      <c r="AO51" s="89"/>
      <c r="AP51" s="89"/>
      <c r="AQ51" s="89"/>
      <c r="AR51" s="89"/>
    </row>
    <row r="52" spans="1:44" x14ac:dyDescent="0.2">
      <c r="A52" s="165"/>
      <c r="B52" s="185" t="str">
        <f>ctArbeitsgebiete!A20</f>
        <v>A12</v>
      </c>
      <c r="C52" s="186" t="str">
        <f>IF(ctArbeitsgebiete!B20&lt;&gt;"",ctArbeitsgebiete!B20,"")</f>
        <v/>
      </c>
      <c r="D52" s="187"/>
      <c r="E52" s="913"/>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322"/>
      <c r="AJ52" s="188">
        <f t="shared" si="14"/>
        <v>0</v>
      </c>
      <c r="AK52" s="152"/>
      <c r="AL52" s="113"/>
      <c r="AM52" s="89"/>
      <c r="AN52" s="89"/>
      <c r="AO52" s="89"/>
      <c r="AP52" s="89"/>
      <c r="AQ52" s="89"/>
      <c r="AR52" s="89"/>
    </row>
    <row r="53" spans="1:44" x14ac:dyDescent="0.2">
      <c r="A53" s="165"/>
      <c r="B53" s="185" t="str">
        <f>ctArbeitsgebiete!A21</f>
        <v>A13</v>
      </c>
      <c r="C53" s="186" t="str">
        <f>IF(ctArbeitsgebiete!B21&lt;&gt;"",ctArbeitsgebiete!B21,"")</f>
        <v/>
      </c>
      <c r="D53" s="187"/>
      <c r="E53" s="913"/>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322"/>
      <c r="AJ53" s="188">
        <f t="shared" si="14"/>
        <v>0</v>
      </c>
      <c r="AK53" s="152"/>
      <c r="AL53" s="113"/>
      <c r="AM53" s="89"/>
      <c r="AN53" s="89"/>
      <c r="AO53" s="89"/>
      <c r="AP53" s="89"/>
      <c r="AQ53" s="89"/>
      <c r="AR53" s="89"/>
    </row>
    <row r="54" spans="1:44" x14ac:dyDescent="0.2">
      <c r="A54" s="165"/>
      <c r="B54" s="185" t="str">
        <f>ctArbeitsgebiete!A22</f>
        <v>A14</v>
      </c>
      <c r="C54" s="186" t="str">
        <f>IF(ctArbeitsgebiete!B22&lt;&gt;"",ctArbeitsgebiete!B22,"")</f>
        <v/>
      </c>
      <c r="D54" s="187"/>
      <c r="E54" s="913"/>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322"/>
      <c r="AJ54" s="188">
        <f t="shared" si="14"/>
        <v>0</v>
      </c>
      <c r="AK54" s="152"/>
      <c r="AL54" s="113"/>
      <c r="AM54" s="89"/>
      <c r="AN54" s="89"/>
      <c r="AO54" s="89"/>
      <c r="AP54" s="89"/>
      <c r="AQ54" s="89"/>
      <c r="AR54" s="89"/>
    </row>
    <row r="55" spans="1:44" x14ac:dyDescent="0.2">
      <c r="A55" s="165"/>
      <c r="B55" s="185" t="str">
        <f>ctArbeitsgebiete!A23</f>
        <v>A15</v>
      </c>
      <c r="C55" s="186" t="str">
        <f>IF(ctArbeitsgebiete!B23&lt;&gt;"",ctArbeitsgebiete!B23,"")</f>
        <v/>
      </c>
      <c r="D55" s="187"/>
      <c r="E55" s="913"/>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322"/>
      <c r="AJ55" s="188">
        <f t="shared" si="14"/>
        <v>0</v>
      </c>
      <c r="AK55" s="152"/>
      <c r="AL55" s="113"/>
      <c r="AM55" s="89"/>
      <c r="AN55" s="89"/>
      <c r="AO55" s="89"/>
      <c r="AP55" s="89"/>
      <c r="AQ55" s="89"/>
      <c r="AR55" s="89"/>
    </row>
    <row r="56" spans="1:44" x14ac:dyDescent="0.2">
      <c r="A56" s="165"/>
      <c r="B56" s="189" t="str">
        <f>ctArbeitsgebiete!A24</f>
        <v>A16</v>
      </c>
      <c r="C56" s="190" t="str">
        <f>IF(ctArbeitsgebiete!B24&lt;&gt;"",ctArbeitsgebiete!B24,"")</f>
        <v/>
      </c>
      <c r="D56" s="191"/>
      <c r="E56" s="914"/>
      <c r="F56" s="915"/>
      <c r="G56" s="915"/>
      <c r="H56" s="915"/>
      <c r="I56" s="915"/>
      <c r="J56" s="915"/>
      <c r="K56" s="915"/>
      <c r="L56" s="915"/>
      <c r="M56" s="915"/>
      <c r="N56" s="915"/>
      <c r="O56" s="915"/>
      <c r="P56" s="915"/>
      <c r="Q56" s="915"/>
      <c r="R56" s="915"/>
      <c r="S56" s="915"/>
      <c r="T56" s="915"/>
      <c r="U56" s="915"/>
      <c r="V56" s="915"/>
      <c r="W56" s="915"/>
      <c r="X56" s="915"/>
      <c r="Y56" s="915"/>
      <c r="Z56" s="915"/>
      <c r="AA56" s="915"/>
      <c r="AB56" s="915"/>
      <c r="AC56" s="915"/>
      <c r="AD56" s="915"/>
      <c r="AE56" s="915"/>
      <c r="AF56" s="915"/>
      <c r="AG56" s="915"/>
      <c r="AH56" s="915"/>
      <c r="AI56" s="916"/>
      <c r="AJ56" s="192">
        <f t="shared" si="14"/>
        <v>0</v>
      </c>
      <c r="AK56" s="912"/>
      <c r="AL56" s="113"/>
      <c r="AM56" s="89"/>
      <c r="AN56" s="89"/>
      <c r="AO56" s="89"/>
      <c r="AP56" s="89"/>
      <c r="AQ56" s="89"/>
      <c r="AR56" s="89"/>
    </row>
    <row r="57" spans="1:44" x14ac:dyDescent="0.2">
      <c r="A57" s="165"/>
      <c r="B57" s="1066" t="str">
        <f>ctArbeitsgebiete!D9</f>
        <v>B01</v>
      </c>
      <c r="C57" s="1073" t="str">
        <f>IF(ctArbeitsgebiete!E9&lt;&gt;"",ctArbeitsgebiete!E9,"")</f>
        <v/>
      </c>
      <c r="D57" s="1074" t="str">
        <f>IF(ctArbeitsgebiete!F9&lt;&gt;"",ctArbeitsgebiete!F9,"")</f>
        <v/>
      </c>
      <c r="E57" s="1069"/>
      <c r="F57" s="1070"/>
      <c r="G57" s="1070"/>
      <c r="H57" s="1070"/>
      <c r="I57" s="1070"/>
      <c r="J57" s="1070"/>
      <c r="K57" s="1070"/>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0"/>
      <c r="AH57" s="1070"/>
      <c r="AI57" s="1071"/>
      <c r="AJ57" s="1075">
        <f t="shared" si="14"/>
        <v>0</v>
      </c>
      <c r="AK57" s="1060"/>
      <c r="AL57" s="113"/>
      <c r="AM57" s="89"/>
      <c r="AN57" s="89"/>
      <c r="AO57" s="89"/>
      <c r="AP57" s="89"/>
      <c r="AQ57" s="89"/>
      <c r="AR57" s="89"/>
    </row>
    <row r="58" spans="1:44" x14ac:dyDescent="0.2">
      <c r="A58" s="165"/>
      <c r="B58" s="185" t="str">
        <f>ctArbeitsgebiete!D10</f>
        <v>B02</v>
      </c>
      <c r="C58" s="193" t="str">
        <f>IF(ctArbeitsgebiete!E10&lt;&gt;"",ctArbeitsgebiete!E10,"")</f>
        <v/>
      </c>
      <c r="D58" s="194"/>
      <c r="E58" s="913"/>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322"/>
      <c r="AJ58" s="195">
        <f t="shared" si="14"/>
        <v>0</v>
      </c>
      <c r="AK58" s="152"/>
      <c r="AL58" s="113"/>
      <c r="AM58" s="89"/>
      <c r="AN58" s="89"/>
      <c r="AO58" s="89"/>
      <c r="AP58" s="89"/>
      <c r="AQ58" s="89"/>
      <c r="AR58" s="89"/>
    </row>
    <row r="59" spans="1:44" x14ac:dyDescent="0.2">
      <c r="A59" s="165"/>
      <c r="B59" s="185" t="str">
        <f>ctArbeitsgebiete!D11</f>
        <v>B03</v>
      </c>
      <c r="C59" s="193" t="str">
        <f>IF(ctArbeitsgebiete!E11&lt;&gt;"",ctArbeitsgebiete!E11,"")</f>
        <v/>
      </c>
      <c r="D59" s="194"/>
      <c r="E59" s="913"/>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322"/>
      <c r="AJ59" s="195">
        <f t="shared" si="14"/>
        <v>0</v>
      </c>
      <c r="AK59" s="152"/>
      <c r="AL59" s="113"/>
      <c r="AM59" s="89"/>
      <c r="AN59" s="89"/>
      <c r="AO59" s="89"/>
      <c r="AP59" s="89"/>
      <c r="AQ59" s="89"/>
      <c r="AR59" s="89"/>
    </row>
    <row r="60" spans="1:44" x14ac:dyDescent="0.2">
      <c r="A60" s="165"/>
      <c r="B60" s="185" t="str">
        <f>ctArbeitsgebiete!D12</f>
        <v>B04</v>
      </c>
      <c r="C60" s="193" t="str">
        <f>IF(ctArbeitsgebiete!E12&lt;&gt;"",ctArbeitsgebiete!E12,"")</f>
        <v/>
      </c>
      <c r="D60" s="194"/>
      <c r="E60" s="913"/>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322"/>
      <c r="AJ60" s="195">
        <f t="shared" si="14"/>
        <v>0</v>
      </c>
      <c r="AK60" s="152"/>
      <c r="AL60" s="113"/>
      <c r="AM60" s="89"/>
      <c r="AN60" s="89"/>
      <c r="AO60" s="89"/>
      <c r="AP60" s="89"/>
      <c r="AQ60" s="89"/>
      <c r="AR60" s="89"/>
    </row>
    <row r="61" spans="1:44" x14ac:dyDescent="0.2">
      <c r="A61" s="165"/>
      <c r="B61" s="185" t="str">
        <f>ctArbeitsgebiete!D13</f>
        <v>B05</v>
      </c>
      <c r="C61" s="193" t="str">
        <f>IF(ctArbeitsgebiete!E13&lt;&gt;"",ctArbeitsgebiete!E13,"")</f>
        <v/>
      </c>
      <c r="D61" s="194"/>
      <c r="E61" s="913"/>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322"/>
      <c r="AJ61" s="195">
        <f t="shared" si="14"/>
        <v>0</v>
      </c>
      <c r="AK61" s="152"/>
      <c r="AL61" s="113"/>
      <c r="AM61" s="89"/>
      <c r="AN61" s="89"/>
      <c r="AO61" s="89"/>
      <c r="AP61" s="89"/>
      <c r="AQ61" s="89"/>
      <c r="AR61" s="89"/>
    </row>
    <row r="62" spans="1:44" x14ac:dyDescent="0.2">
      <c r="A62" s="165"/>
      <c r="B62" s="185" t="str">
        <f>ctArbeitsgebiete!D14</f>
        <v>B06</v>
      </c>
      <c r="C62" s="193" t="str">
        <f>IF(ctArbeitsgebiete!E14&lt;&gt;"",ctArbeitsgebiete!E14,"")</f>
        <v/>
      </c>
      <c r="D62" s="194"/>
      <c r="E62" s="913"/>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322"/>
      <c r="AJ62" s="195">
        <f t="shared" si="14"/>
        <v>0</v>
      </c>
      <c r="AK62" s="152"/>
      <c r="AL62" s="113"/>
      <c r="AM62" s="89"/>
      <c r="AN62" s="89"/>
      <c r="AO62" s="89"/>
      <c r="AP62" s="89"/>
      <c r="AQ62" s="89"/>
      <c r="AR62" s="89"/>
    </row>
    <row r="63" spans="1:44" x14ac:dyDescent="0.2">
      <c r="A63" s="165"/>
      <c r="B63" s="185" t="str">
        <f>ctArbeitsgebiete!D15</f>
        <v>B07</v>
      </c>
      <c r="C63" s="193" t="str">
        <f>IF(ctArbeitsgebiete!E15&lt;&gt;"",ctArbeitsgebiete!E15,"")</f>
        <v/>
      </c>
      <c r="D63" s="194"/>
      <c r="E63" s="913"/>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322"/>
      <c r="AJ63" s="195">
        <f t="shared" si="14"/>
        <v>0</v>
      </c>
      <c r="AK63" s="152"/>
      <c r="AL63" s="113"/>
      <c r="AM63" s="89"/>
      <c r="AN63" s="89"/>
      <c r="AO63" s="89"/>
      <c r="AP63" s="89"/>
      <c r="AQ63" s="89"/>
      <c r="AR63" s="89"/>
    </row>
    <row r="64" spans="1:44" x14ac:dyDescent="0.2">
      <c r="A64" s="165"/>
      <c r="B64" s="185" t="str">
        <f>ctArbeitsgebiete!D16</f>
        <v>B08</v>
      </c>
      <c r="C64" s="193" t="str">
        <f>IF(ctArbeitsgebiete!E16&lt;&gt;"",ctArbeitsgebiete!E16,"")</f>
        <v/>
      </c>
      <c r="D64" s="194"/>
      <c r="E64" s="913"/>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322"/>
      <c r="AJ64" s="195">
        <f t="shared" si="14"/>
        <v>0</v>
      </c>
      <c r="AK64" s="152"/>
      <c r="AL64" s="113"/>
      <c r="AM64" s="89"/>
      <c r="AN64" s="89"/>
      <c r="AO64" s="89"/>
      <c r="AP64" s="89"/>
      <c r="AQ64" s="89"/>
      <c r="AR64" s="89"/>
    </row>
    <row r="65" spans="1:44" x14ac:dyDescent="0.2">
      <c r="A65" s="165"/>
      <c r="B65" s="185" t="str">
        <f>ctArbeitsgebiete!D17</f>
        <v>B09</v>
      </c>
      <c r="C65" s="193" t="str">
        <f>IF(ctArbeitsgebiete!E17&lt;&gt;"",ctArbeitsgebiete!E17,"")</f>
        <v/>
      </c>
      <c r="D65" s="194"/>
      <c r="E65" s="913"/>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322"/>
      <c r="AJ65" s="195">
        <f t="shared" si="14"/>
        <v>0</v>
      </c>
      <c r="AK65" s="152"/>
      <c r="AL65" s="113"/>
      <c r="AM65" s="89"/>
      <c r="AN65" s="89"/>
      <c r="AO65" s="89"/>
      <c r="AP65" s="89"/>
      <c r="AQ65" s="89"/>
      <c r="AR65" s="89"/>
    </row>
    <row r="66" spans="1:44" x14ac:dyDescent="0.2">
      <c r="A66" s="165"/>
      <c r="B66" s="185" t="str">
        <f>ctArbeitsgebiete!D18</f>
        <v>B10</v>
      </c>
      <c r="C66" s="193" t="str">
        <f>IF(ctArbeitsgebiete!E18&lt;&gt;"",ctArbeitsgebiete!E18,"")</f>
        <v/>
      </c>
      <c r="D66" s="194"/>
      <c r="E66" s="913"/>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322"/>
      <c r="AJ66" s="195">
        <f t="shared" si="14"/>
        <v>0</v>
      </c>
      <c r="AK66" s="152"/>
      <c r="AL66" s="113"/>
      <c r="AM66" s="89"/>
      <c r="AN66" s="89"/>
      <c r="AO66" s="89"/>
      <c r="AP66" s="89"/>
      <c r="AQ66" s="89"/>
      <c r="AR66" s="89"/>
    </row>
    <row r="67" spans="1:44" x14ac:dyDescent="0.2">
      <c r="A67" s="165"/>
      <c r="B67" s="185" t="str">
        <f>ctArbeitsgebiete!D19</f>
        <v>B11</v>
      </c>
      <c r="C67" s="193" t="str">
        <f>IF(ctArbeitsgebiete!E19&lt;&gt;"",ctArbeitsgebiete!E19,"")</f>
        <v/>
      </c>
      <c r="D67" s="194"/>
      <c r="E67" s="913"/>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322"/>
      <c r="AJ67" s="195">
        <f t="shared" si="14"/>
        <v>0</v>
      </c>
      <c r="AK67" s="152"/>
      <c r="AL67" s="113"/>
      <c r="AM67" s="89"/>
      <c r="AN67" s="89"/>
      <c r="AO67" s="89"/>
      <c r="AP67" s="89"/>
      <c r="AQ67" s="89"/>
      <c r="AR67" s="89"/>
    </row>
    <row r="68" spans="1:44" x14ac:dyDescent="0.2">
      <c r="A68" s="165"/>
      <c r="B68" s="189" t="str">
        <f>ctArbeitsgebiete!D20</f>
        <v>B12</v>
      </c>
      <c r="C68" s="196" t="str">
        <f>IF(ctArbeitsgebiete!E20&lt;&gt;"",ctArbeitsgebiete!E20,"")</f>
        <v/>
      </c>
      <c r="D68" s="197"/>
      <c r="E68" s="914"/>
      <c r="F68" s="915"/>
      <c r="G68" s="915"/>
      <c r="H68" s="915"/>
      <c r="I68" s="915"/>
      <c r="J68" s="915"/>
      <c r="K68" s="915"/>
      <c r="L68" s="915"/>
      <c r="M68" s="915"/>
      <c r="N68" s="915"/>
      <c r="O68" s="915"/>
      <c r="P68" s="915"/>
      <c r="Q68" s="915"/>
      <c r="R68" s="915"/>
      <c r="S68" s="915"/>
      <c r="T68" s="915"/>
      <c r="U68" s="915"/>
      <c r="V68" s="915"/>
      <c r="W68" s="915"/>
      <c r="X68" s="915"/>
      <c r="Y68" s="915"/>
      <c r="Z68" s="915"/>
      <c r="AA68" s="915"/>
      <c r="AB68" s="915"/>
      <c r="AC68" s="915"/>
      <c r="AD68" s="915"/>
      <c r="AE68" s="915"/>
      <c r="AF68" s="915"/>
      <c r="AG68" s="915"/>
      <c r="AH68" s="915"/>
      <c r="AI68" s="916"/>
      <c r="AJ68" s="198">
        <f t="shared" si="14"/>
        <v>0</v>
      </c>
      <c r="AK68" s="912"/>
      <c r="AL68" s="113"/>
      <c r="AM68" s="89"/>
      <c r="AN68" s="89"/>
      <c r="AO68" s="89"/>
      <c r="AP68" s="89"/>
      <c r="AQ68" s="89"/>
      <c r="AR68" s="89"/>
    </row>
    <row r="69" spans="1:44" x14ac:dyDescent="0.2">
      <c r="A69" s="165"/>
      <c r="B69" s="1066" t="str">
        <f>ctArbeitsgebiete!G9</f>
        <v>C01</v>
      </c>
      <c r="C69" s="1076" t="str">
        <f>IF(ctArbeitsgebiete!H9&lt;&gt;"",ctArbeitsgebiete!H9,"")</f>
        <v/>
      </c>
      <c r="D69" s="1077"/>
      <c r="E69" s="1069"/>
      <c r="F69" s="1070"/>
      <c r="G69" s="1070"/>
      <c r="H69" s="1070"/>
      <c r="I69" s="1070"/>
      <c r="J69" s="1070"/>
      <c r="K69" s="1070"/>
      <c r="L69" s="1070"/>
      <c r="M69" s="1070"/>
      <c r="N69" s="1070"/>
      <c r="O69" s="1070"/>
      <c r="P69" s="1070"/>
      <c r="Q69" s="1070"/>
      <c r="R69" s="1070"/>
      <c r="S69" s="1070"/>
      <c r="T69" s="1070"/>
      <c r="U69" s="1070"/>
      <c r="V69" s="1070"/>
      <c r="W69" s="1070"/>
      <c r="X69" s="1070"/>
      <c r="Y69" s="1070"/>
      <c r="Z69" s="1070"/>
      <c r="AA69" s="1070"/>
      <c r="AB69" s="1070"/>
      <c r="AC69" s="1070"/>
      <c r="AD69" s="1070"/>
      <c r="AE69" s="1070"/>
      <c r="AF69" s="1070"/>
      <c r="AG69" s="1070"/>
      <c r="AH69" s="1070"/>
      <c r="AI69" s="1071"/>
      <c r="AJ69" s="1078">
        <f t="shared" si="14"/>
        <v>0</v>
      </c>
      <c r="AK69" s="1060"/>
      <c r="AL69" s="113"/>
      <c r="AM69" s="89"/>
      <c r="AN69" s="89"/>
      <c r="AO69" s="89"/>
      <c r="AP69" s="89"/>
      <c r="AQ69" s="89"/>
      <c r="AR69" s="89"/>
    </row>
    <row r="70" spans="1:44" x14ac:dyDescent="0.2">
      <c r="A70" s="165"/>
      <c r="B70" s="185" t="str">
        <f>ctArbeitsgebiete!G10</f>
        <v>C02</v>
      </c>
      <c r="C70" s="199" t="str">
        <f>IF(ctArbeitsgebiete!H10&lt;&gt;"",ctArbeitsgebiete!H10,"")</f>
        <v/>
      </c>
      <c r="D70" s="200"/>
      <c r="E70" s="913"/>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322"/>
      <c r="AJ70" s="201">
        <f t="shared" si="14"/>
        <v>0</v>
      </c>
      <c r="AK70" s="152"/>
      <c r="AL70" s="113"/>
      <c r="AM70" s="89"/>
      <c r="AN70" s="89"/>
      <c r="AO70" s="89"/>
      <c r="AP70" s="89"/>
      <c r="AQ70" s="89"/>
      <c r="AR70" s="89"/>
    </row>
    <row r="71" spans="1:44" x14ac:dyDescent="0.2">
      <c r="A71" s="165"/>
      <c r="B71" s="185" t="str">
        <f>ctArbeitsgebiete!G11</f>
        <v>C03</v>
      </c>
      <c r="C71" s="199" t="str">
        <f>IF(ctArbeitsgebiete!H11&lt;&gt;"",ctArbeitsgebiete!H11,"")</f>
        <v/>
      </c>
      <c r="D71" s="200"/>
      <c r="E71" s="913"/>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322"/>
      <c r="AJ71" s="201">
        <f t="shared" si="14"/>
        <v>0</v>
      </c>
      <c r="AK71" s="152"/>
      <c r="AL71" s="113"/>
      <c r="AM71" s="89"/>
      <c r="AN71" s="89"/>
      <c r="AO71" s="89"/>
      <c r="AP71" s="89"/>
      <c r="AQ71" s="89"/>
      <c r="AR71" s="89"/>
    </row>
    <row r="72" spans="1:44" x14ac:dyDescent="0.2">
      <c r="A72" s="165"/>
      <c r="B72" s="185" t="str">
        <f>ctArbeitsgebiete!G12</f>
        <v>C04</v>
      </c>
      <c r="C72" s="199" t="str">
        <f>IF(ctArbeitsgebiete!H12&lt;&gt;"",ctArbeitsgebiete!H12,"")</f>
        <v/>
      </c>
      <c r="D72" s="200"/>
      <c r="E72" s="913"/>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322"/>
      <c r="AJ72" s="201">
        <f t="shared" si="14"/>
        <v>0</v>
      </c>
      <c r="AK72" s="152"/>
      <c r="AL72" s="113"/>
      <c r="AM72" s="89"/>
      <c r="AN72" s="89"/>
      <c r="AO72" s="89"/>
      <c r="AP72" s="89"/>
      <c r="AQ72" s="89"/>
      <c r="AR72" s="89"/>
    </row>
    <row r="73" spans="1:44" x14ac:dyDescent="0.2">
      <c r="A73" s="165"/>
      <c r="B73" s="185" t="str">
        <f>ctArbeitsgebiete!G13</f>
        <v>C05</v>
      </c>
      <c r="C73" s="199" t="str">
        <f>IF(ctArbeitsgebiete!H13&lt;&gt;"",ctArbeitsgebiete!H13,"")</f>
        <v/>
      </c>
      <c r="D73" s="200"/>
      <c r="E73" s="913"/>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322"/>
      <c r="AJ73" s="201">
        <f t="shared" si="14"/>
        <v>0</v>
      </c>
      <c r="AK73" s="152"/>
      <c r="AL73" s="113"/>
      <c r="AM73" s="89"/>
      <c r="AN73" s="89"/>
      <c r="AO73" s="89"/>
      <c r="AP73" s="89"/>
      <c r="AQ73" s="89"/>
      <c r="AR73" s="89"/>
    </row>
    <row r="74" spans="1:44" x14ac:dyDescent="0.2">
      <c r="A74" s="165"/>
      <c r="B74" s="185" t="str">
        <f>ctArbeitsgebiete!G14</f>
        <v>C06</v>
      </c>
      <c r="C74" s="199" t="str">
        <f>IF(ctArbeitsgebiete!H14&lt;&gt;"",ctArbeitsgebiete!H14,"")</f>
        <v/>
      </c>
      <c r="D74" s="200"/>
      <c r="E74" s="913"/>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322"/>
      <c r="AJ74" s="201">
        <f t="shared" si="14"/>
        <v>0</v>
      </c>
      <c r="AK74" s="152"/>
      <c r="AL74" s="113"/>
      <c r="AM74" s="89"/>
      <c r="AN74" s="89"/>
      <c r="AO74" s="89"/>
      <c r="AP74" s="89"/>
      <c r="AQ74" s="89"/>
      <c r="AR74" s="89"/>
    </row>
    <row r="75" spans="1:44" x14ac:dyDescent="0.2">
      <c r="A75" s="165"/>
      <c r="B75" s="185" t="str">
        <f>ctArbeitsgebiete!G15</f>
        <v>C07</v>
      </c>
      <c r="C75" s="199" t="str">
        <f>IF(ctArbeitsgebiete!H15&lt;&gt;"",ctArbeitsgebiete!H15,"")</f>
        <v/>
      </c>
      <c r="D75" s="200"/>
      <c r="E75" s="913"/>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322"/>
      <c r="AJ75" s="201">
        <f t="shared" si="14"/>
        <v>0</v>
      </c>
      <c r="AK75" s="152"/>
      <c r="AL75" s="113"/>
      <c r="AM75" s="89"/>
      <c r="AN75" s="89"/>
      <c r="AO75" s="89"/>
      <c r="AP75" s="89"/>
      <c r="AQ75" s="89"/>
      <c r="AR75" s="89"/>
    </row>
    <row r="76" spans="1:44" x14ac:dyDescent="0.2">
      <c r="A76" s="165"/>
      <c r="B76" s="189" t="str">
        <f>ctArbeitsgebiete!G16</f>
        <v>C08</v>
      </c>
      <c r="C76" s="202" t="str">
        <f>IF(ctArbeitsgebiete!H16&lt;&gt;"",ctArbeitsgebiete!H16,"")</f>
        <v/>
      </c>
      <c r="D76" s="203"/>
      <c r="E76" s="914"/>
      <c r="F76" s="915"/>
      <c r="G76" s="915"/>
      <c r="H76" s="915"/>
      <c r="I76" s="915"/>
      <c r="J76" s="915"/>
      <c r="K76" s="915"/>
      <c r="L76" s="915"/>
      <c r="M76" s="915"/>
      <c r="N76" s="915"/>
      <c r="O76" s="915"/>
      <c r="P76" s="915"/>
      <c r="Q76" s="915"/>
      <c r="R76" s="915"/>
      <c r="S76" s="915"/>
      <c r="T76" s="915"/>
      <c r="U76" s="915"/>
      <c r="V76" s="915"/>
      <c r="W76" s="915"/>
      <c r="X76" s="915"/>
      <c r="Y76" s="915"/>
      <c r="Z76" s="915"/>
      <c r="AA76" s="915"/>
      <c r="AB76" s="915"/>
      <c r="AC76" s="915"/>
      <c r="AD76" s="915"/>
      <c r="AE76" s="915"/>
      <c r="AF76" s="915"/>
      <c r="AG76" s="915"/>
      <c r="AH76" s="915"/>
      <c r="AI76" s="916"/>
      <c r="AJ76" s="204">
        <f t="shared" si="14"/>
        <v>0</v>
      </c>
      <c r="AK76" s="912"/>
      <c r="AL76" s="113"/>
      <c r="AM76" s="89"/>
      <c r="AN76" s="89"/>
      <c r="AO76" s="89"/>
      <c r="AP76" s="89"/>
      <c r="AQ76" s="89"/>
      <c r="AR76" s="89"/>
    </row>
    <row r="77" spans="1:44" x14ac:dyDescent="0.2">
      <c r="A77" s="165"/>
      <c r="B77" s="1066" t="str">
        <f>ctArbeitsgebiete!J9</f>
        <v>D01</v>
      </c>
      <c r="C77" s="1079" t="str">
        <f>IF(ctArbeitsgebiete!K9&lt;&gt;"",ctArbeitsgebiete!K9,"")</f>
        <v>DAG</v>
      </c>
      <c r="D77" s="1080"/>
      <c r="E77" s="1069"/>
      <c r="F77" s="1070"/>
      <c r="G77" s="1070"/>
      <c r="H77" s="1070"/>
      <c r="I77" s="1070"/>
      <c r="J77" s="1070"/>
      <c r="K77" s="1070"/>
      <c r="L77" s="1070"/>
      <c r="M77" s="1070"/>
      <c r="N77" s="1070"/>
      <c r="O77" s="1070"/>
      <c r="P77" s="1070"/>
      <c r="Q77" s="1070"/>
      <c r="R77" s="1070"/>
      <c r="S77" s="1070"/>
      <c r="T77" s="1070"/>
      <c r="U77" s="1070"/>
      <c r="V77" s="1070"/>
      <c r="W77" s="1070"/>
      <c r="X77" s="1070"/>
      <c r="Y77" s="1070"/>
      <c r="Z77" s="1070"/>
      <c r="AA77" s="1070"/>
      <c r="AB77" s="1070"/>
      <c r="AC77" s="1070"/>
      <c r="AD77" s="1070"/>
      <c r="AE77" s="1070"/>
      <c r="AF77" s="1070"/>
      <c r="AG77" s="1070"/>
      <c r="AH77" s="1070"/>
      <c r="AI77" s="1071"/>
      <c r="AJ77" s="1059">
        <f t="shared" si="14"/>
        <v>0</v>
      </c>
      <c r="AK77" s="1060"/>
      <c r="AL77" s="113"/>
      <c r="AM77" s="89"/>
      <c r="AN77" s="89"/>
      <c r="AO77" s="89"/>
      <c r="AP77" s="89"/>
      <c r="AQ77" s="89"/>
      <c r="AR77" s="89"/>
    </row>
    <row r="78" spans="1:44" x14ac:dyDescent="0.2">
      <c r="A78" s="165"/>
      <c r="B78" s="185" t="str">
        <f>ctArbeitsgebiete!J10</f>
        <v>D02</v>
      </c>
      <c r="C78" s="205" t="str">
        <f>IF(ctArbeitsgebiete!K10&lt;&gt;"",ctArbeitsgebiete!K10,"")</f>
        <v>Betriebsausflug</v>
      </c>
      <c r="D78" s="206"/>
      <c r="E78" s="913"/>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322"/>
      <c r="AJ78" s="174">
        <f t="shared" si="14"/>
        <v>0</v>
      </c>
      <c r="AK78" s="152"/>
      <c r="AL78" s="113"/>
      <c r="AM78" s="89"/>
      <c r="AN78" s="89"/>
      <c r="AO78" s="89"/>
      <c r="AP78" s="89"/>
      <c r="AQ78" s="89"/>
      <c r="AR78" s="89"/>
    </row>
    <row r="79" spans="1:44" x14ac:dyDescent="0.2">
      <c r="A79" s="165"/>
      <c r="B79" s="185" t="str">
        <f>ctArbeitsgebiete!J11</f>
        <v>D03</v>
      </c>
      <c r="C79" s="205" t="str">
        <f>IF(ctArbeitsgebiete!K11&lt;&gt;"",ctArbeitsgebiete!K11,"")</f>
        <v/>
      </c>
      <c r="D79" s="206"/>
      <c r="E79" s="913"/>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322"/>
      <c r="AJ79" s="174">
        <f t="shared" si="14"/>
        <v>0</v>
      </c>
      <c r="AK79" s="152"/>
      <c r="AL79" s="113"/>
      <c r="AM79" s="89"/>
      <c r="AN79" s="89"/>
      <c r="AO79" s="89"/>
      <c r="AP79" s="89"/>
      <c r="AQ79" s="89"/>
      <c r="AR79" s="89"/>
    </row>
    <row r="80" spans="1:44" x14ac:dyDescent="0.2">
      <c r="A80" s="165"/>
      <c r="B80" s="185" t="str">
        <f>ctArbeitsgebiete!J12</f>
        <v>D04</v>
      </c>
      <c r="C80" s="205" t="str">
        <f>IF(ctArbeitsgebiete!K12&lt;&gt;"",ctArbeitsgebiete!K12,"")</f>
        <v/>
      </c>
      <c r="D80" s="206"/>
      <c r="E80" s="913"/>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322"/>
      <c r="AJ80" s="174">
        <f t="shared" si="14"/>
        <v>0</v>
      </c>
      <c r="AK80" s="152"/>
      <c r="AL80" s="113"/>
      <c r="AM80" s="89"/>
      <c r="AN80" s="89"/>
      <c r="AO80" s="89"/>
      <c r="AP80" s="89"/>
      <c r="AQ80" s="89"/>
      <c r="AR80" s="89"/>
    </row>
    <row r="81" spans="1:44" x14ac:dyDescent="0.2">
      <c r="A81" s="165"/>
      <c r="B81" s="185" t="str">
        <f>ctArbeitsgebiete!J13</f>
        <v>D05</v>
      </c>
      <c r="C81" s="205" t="str">
        <f>IF(ctArbeitsgebiete!K13&lt;&gt;"",ctArbeitsgebiete!K13,"")</f>
        <v/>
      </c>
      <c r="D81" s="206"/>
      <c r="E81" s="913"/>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322"/>
      <c r="AJ81" s="174">
        <f t="shared" si="14"/>
        <v>0</v>
      </c>
      <c r="AK81" s="152"/>
      <c r="AL81" s="113"/>
      <c r="AM81" s="89"/>
      <c r="AN81" s="89"/>
      <c r="AO81" s="89"/>
      <c r="AP81" s="89"/>
      <c r="AQ81" s="89"/>
      <c r="AR81" s="89"/>
    </row>
    <row r="82" spans="1:44" x14ac:dyDescent="0.2">
      <c r="A82" s="165"/>
      <c r="B82" s="185" t="str">
        <f>ctArbeitsgebiete!J14</f>
        <v>D06</v>
      </c>
      <c r="C82" s="205" t="str">
        <f>IF(ctArbeitsgebiete!K14&lt;&gt;"",ctArbeitsgebiete!K14,"")</f>
        <v/>
      </c>
      <c r="D82" s="206"/>
      <c r="E82" s="913"/>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322"/>
      <c r="AJ82" s="174">
        <f t="shared" si="14"/>
        <v>0</v>
      </c>
      <c r="AK82" s="152"/>
      <c r="AL82" s="113"/>
      <c r="AM82" s="89"/>
      <c r="AN82" s="89"/>
      <c r="AO82" s="89"/>
      <c r="AP82" s="89"/>
      <c r="AQ82" s="89"/>
      <c r="AR82" s="89"/>
    </row>
    <row r="83" spans="1:44" x14ac:dyDescent="0.2">
      <c r="A83" s="165"/>
      <c r="B83" s="185" t="str">
        <f>ctArbeitsgebiete!J15</f>
        <v>D07</v>
      </c>
      <c r="C83" s="205" t="str">
        <f>IF(ctArbeitsgebiete!K15&lt;&gt;"",ctArbeitsgebiete!K15,"")</f>
        <v/>
      </c>
      <c r="D83" s="206"/>
      <c r="E83" s="913"/>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322"/>
      <c r="AJ83" s="174">
        <f t="shared" si="14"/>
        <v>0</v>
      </c>
      <c r="AK83" s="152"/>
      <c r="AL83" s="113"/>
      <c r="AM83" s="89"/>
      <c r="AN83" s="89"/>
      <c r="AO83" s="89"/>
      <c r="AP83" s="89"/>
      <c r="AQ83" s="89"/>
      <c r="AR83" s="89"/>
    </row>
    <row r="84" spans="1:44" ht="13.5" thickBot="1" x14ac:dyDescent="0.25">
      <c r="A84" s="165"/>
      <c r="B84" s="189" t="str">
        <f>ctArbeitsgebiete!J16</f>
        <v>D08</v>
      </c>
      <c r="C84" s="207" t="str">
        <f>IF(ctArbeitsgebiete!K16&lt;&gt;"",ctArbeitsgebiete!K16,"")</f>
        <v/>
      </c>
      <c r="D84" s="208"/>
      <c r="E84" s="925"/>
      <c r="F84" s="926"/>
      <c r="G84" s="926"/>
      <c r="H84" s="926"/>
      <c r="I84" s="926"/>
      <c r="J84" s="926"/>
      <c r="K84" s="926"/>
      <c r="L84" s="926"/>
      <c r="M84" s="926"/>
      <c r="N84" s="926"/>
      <c r="O84" s="926"/>
      <c r="P84" s="926"/>
      <c r="Q84" s="926"/>
      <c r="R84" s="926"/>
      <c r="S84" s="926"/>
      <c r="T84" s="926"/>
      <c r="U84" s="926"/>
      <c r="V84" s="926"/>
      <c r="W84" s="926"/>
      <c r="X84" s="926"/>
      <c r="Y84" s="926"/>
      <c r="Z84" s="926"/>
      <c r="AA84" s="926"/>
      <c r="AB84" s="926"/>
      <c r="AC84" s="926"/>
      <c r="AD84" s="926"/>
      <c r="AE84" s="926"/>
      <c r="AF84" s="926"/>
      <c r="AG84" s="926"/>
      <c r="AH84" s="926"/>
      <c r="AI84" s="927"/>
      <c r="AJ84" s="142">
        <f t="shared" si="14"/>
        <v>0</v>
      </c>
      <c r="AK84" s="912"/>
      <c r="AL84" s="113"/>
      <c r="AM84" s="89"/>
      <c r="AN84" s="89"/>
      <c r="AO84" s="89"/>
      <c r="AP84" s="89"/>
      <c r="AQ84" s="89"/>
      <c r="AR84" s="89"/>
    </row>
    <row r="85" spans="1:44" ht="22.5" hidden="1" customHeight="1" outlineLevel="1" thickBot="1" x14ac:dyDescent="0.25">
      <c r="A85" s="8" t="s">
        <v>424</v>
      </c>
      <c r="B85" s="928"/>
      <c r="C85" s="929" t="s">
        <v>433</v>
      </c>
      <c r="D85" s="930"/>
      <c r="E85" s="931"/>
      <c r="F85" s="932"/>
      <c r="G85" s="932"/>
      <c r="H85" s="932"/>
      <c r="I85" s="932"/>
      <c r="J85" s="932"/>
      <c r="K85" s="932"/>
      <c r="L85" s="932"/>
      <c r="M85" s="932"/>
      <c r="N85" s="932"/>
      <c r="O85" s="932"/>
      <c r="P85" s="932"/>
      <c r="Q85" s="932"/>
      <c r="R85" s="932"/>
      <c r="S85" s="932"/>
      <c r="T85" s="932"/>
      <c r="U85" s="932"/>
      <c r="V85" s="932"/>
      <c r="W85" s="932"/>
      <c r="X85" s="932"/>
      <c r="Y85" s="932"/>
      <c r="Z85" s="932"/>
      <c r="AA85" s="932"/>
      <c r="AB85" s="932"/>
      <c r="AC85" s="932"/>
      <c r="AD85" s="932"/>
      <c r="AE85" s="932"/>
      <c r="AF85" s="932"/>
      <c r="AG85" s="932"/>
      <c r="AH85" s="932"/>
      <c r="AI85" s="933"/>
      <c r="AJ85" s="1081">
        <f>SUM(E85:AI85)</f>
        <v>0</v>
      </c>
      <c r="AK85" s="990">
        <f>ROUND(B85+D85+AJ85,8)</f>
        <v>0</v>
      </c>
      <c r="AL85" s="141" t="s">
        <v>434</v>
      </c>
      <c r="AM85" s="91"/>
      <c r="AN85" s="113"/>
      <c r="AO85" s="89"/>
      <c r="AP85" s="89"/>
      <c r="AQ85" s="89"/>
      <c r="AR85" s="89"/>
    </row>
    <row r="86" spans="1:44" ht="15" hidden="1" customHeight="1" outlineLevel="1" x14ac:dyDescent="0.2">
      <c r="A86" s="8" t="s">
        <v>424</v>
      </c>
      <c r="B86" s="934"/>
      <c r="C86" s="935" t="s">
        <v>435</v>
      </c>
      <c r="D86" s="936"/>
      <c r="E86" s="937"/>
      <c r="F86" s="938"/>
      <c r="G86" s="938"/>
      <c r="H86" s="938"/>
      <c r="I86" s="938"/>
      <c r="J86" s="938"/>
      <c r="K86" s="938"/>
      <c r="L86" s="938"/>
      <c r="M86" s="938"/>
      <c r="N86" s="938"/>
      <c r="O86" s="938"/>
      <c r="P86" s="938"/>
      <c r="Q86" s="938"/>
      <c r="R86" s="938"/>
      <c r="S86" s="938"/>
      <c r="T86" s="938"/>
      <c r="U86" s="938"/>
      <c r="V86" s="938"/>
      <c r="W86" s="938"/>
      <c r="X86" s="938"/>
      <c r="Y86" s="938"/>
      <c r="Z86" s="938"/>
      <c r="AA86" s="938"/>
      <c r="AB86" s="938"/>
      <c r="AC86" s="938"/>
      <c r="AD86" s="938"/>
      <c r="AE86" s="938"/>
      <c r="AF86" s="938"/>
      <c r="AG86" s="938"/>
      <c r="AH86" s="938"/>
      <c r="AI86" s="939"/>
      <c r="AK86" s="210"/>
      <c r="AL86" s="141" t="s">
        <v>437</v>
      </c>
      <c r="AM86" s="89"/>
      <c r="AN86" s="113"/>
      <c r="AO86" s="89"/>
      <c r="AP86" s="89"/>
      <c r="AQ86" s="89"/>
      <c r="AR86" s="89"/>
    </row>
    <row r="87" spans="1:44" ht="15" hidden="1" customHeight="1" outlineLevel="1" x14ac:dyDescent="0.2">
      <c r="A87" s="8" t="s">
        <v>424</v>
      </c>
      <c r="B87" s="934"/>
      <c r="C87" s="934" t="str">
        <f>"Zuschlagsber. = " &amp; Eingabeblatt!$D$7</f>
        <v>Zuschlagsber. = NEIN</v>
      </c>
      <c r="D87" s="936"/>
      <c r="E87" s="940"/>
      <c r="F87" s="941"/>
      <c r="G87" s="941"/>
      <c r="H87" s="941"/>
      <c r="I87" s="941"/>
      <c r="J87" s="941"/>
      <c r="K87" s="941"/>
      <c r="L87" s="941"/>
      <c r="M87" s="941"/>
      <c r="N87" s="941"/>
      <c r="O87" s="941"/>
      <c r="P87" s="941"/>
      <c r="Q87" s="941"/>
      <c r="R87" s="941"/>
      <c r="S87" s="941"/>
      <c r="T87" s="941"/>
      <c r="U87" s="941"/>
      <c r="V87" s="941"/>
      <c r="W87" s="941"/>
      <c r="X87" s="941"/>
      <c r="Y87" s="941"/>
      <c r="Z87" s="941"/>
      <c r="AA87" s="941"/>
      <c r="AB87" s="941"/>
      <c r="AC87" s="941"/>
      <c r="AD87" s="941"/>
      <c r="AE87" s="941"/>
      <c r="AF87" s="941"/>
      <c r="AG87" s="941"/>
      <c r="AH87" s="941"/>
      <c r="AI87" s="942"/>
      <c r="AK87" s="210"/>
      <c r="AL87" s="113"/>
      <c r="AM87" s="113"/>
      <c r="AN87" s="113"/>
      <c r="AO87" s="89"/>
      <c r="AP87" s="89"/>
      <c r="AQ87" s="89"/>
      <c r="AR87" s="89"/>
    </row>
    <row r="88" spans="1:44" hidden="1" outlineLevel="1" collapsed="1" x14ac:dyDescent="0.2">
      <c r="E88" s="323"/>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5"/>
      <c r="AK88" s="211"/>
      <c r="AL88" s="113"/>
      <c r="AM88" s="89"/>
      <c r="AN88" s="113"/>
      <c r="AO88" s="89"/>
      <c r="AP88" s="89"/>
      <c r="AQ88" s="89"/>
      <c r="AR88" s="89"/>
    </row>
    <row r="89" spans="1:44" ht="12.75" hidden="1" customHeight="1" outlineLevel="1" x14ac:dyDescent="0.2">
      <c r="C89" s="212"/>
      <c r="E89" s="326"/>
      <c r="F89" s="324"/>
      <c r="G89" s="324"/>
      <c r="H89" s="324"/>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5"/>
      <c r="AK89" s="210"/>
      <c r="AL89" s="113"/>
      <c r="AM89" s="89"/>
      <c r="AN89" s="89"/>
      <c r="AO89" s="89"/>
      <c r="AP89" s="89"/>
      <c r="AQ89" s="89"/>
      <c r="AR89" s="89"/>
    </row>
    <row r="90" spans="1:44" ht="28.5" hidden="1" customHeight="1" outlineLevel="1" x14ac:dyDescent="0.2">
      <c r="C90" s="213" t="s">
        <v>439</v>
      </c>
      <c r="E90" s="326"/>
      <c r="F90" s="324"/>
      <c r="G90" s="324"/>
      <c r="H90" s="324"/>
      <c r="I90" s="324"/>
      <c r="J90" s="324"/>
      <c r="K90" s="327"/>
      <c r="L90" s="327"/>
      <c r="M90" s="327"/>
      <c r="N90" s="324"/>
      <c r="O90" s="324"/>
      <c r="P90" s="324"/>
      <c r="Q90" s="324"/>
      <c r="R90" s="324"/>
      <c r="S90" s="324"/>
      <c r="T90" s="324"/>
      <c r="U90" s="324"/>
      <c r="V90" s="324"/>
      <c r="W90" s="324"/>
      <c r="X90" s="324"/>
      <c r="Y90" s="324"/>
      <c r="Z90" s="324"/>
      <c r="AA90" s="324"/>
      <c r="AB90" s="324"/>
      <c r="AC90" s="324"/>
      <c r="AD90" s="324"/>
      <c r="AE90" s="324"/>
      <c r="AF90" s="324"/>
      <c r="AG90" s="324"/>
      <c r="AH90" s="324"/>
      <c r="AI90" s="325"/>
      <c r="AK90" s="210"/>
      <c r="AL90" s="113"/>
      <c r="AM90" s="89"/>
      <c r="AN90" s="89"/>
      <c r="AO90" s="89"/>
      <c r="AP90" s="89"/>
      <c r="AQ90" s="89"/>
      <c r="AR90" s="89"/>
    </row>
    <row r="91" spans="1:44" ht="28.5" hidden="1" customHeight="1" outlineLevel="1" thickBot="1" x14ac:dyDescent="0.3">
      <c r="C91" s="214" t="s">
        <v>440</v>
      </c>
      <c r="D91" s="215"/>
      <c r="E91" s="236"/>
      <c r="F91" s="327"/>
      <c r="G91" s="327"/>
      <c r="H91" s="327"/>
      <c r="I91" s="327"/>
      <c r="J91" s="327"/>
      <c r="K91" s="327"/>
      <c r="L91" s="327"/>
      <c r="M91" s="327"/>
      <c r="N91" s="327"/>
      <c r="O91" s="327"/>
      <c r="P91" s="327"/>
      <c r="Q91" s="327"/>
      <c r="R91" s="327"/>
      <c r="S91" s="327"/>
      <c r="T91" s="327"/>
      <c r="U91" s="328"/>
      <c r="V91" s="327"/>
      <c r="W91" s="327"/>
      <c r="X91" s="327"/>
      <c r="Y91" s="327"/>
      <c r="Z91" s="327"/>
      <c r="AA91" s="327"/>
      <c r="AB91" s="327"/>
      <c r="AC91" s="327"/>
      <c r="AD91" s="327"/>
      <c r="AE91" s="327"/>
      <c r="AF91" s="328"/>
      <c r="AG91" s="327"/>
      <c r="AH91" s="943"/>
      <c r="AI91" s="329"/>
      <c r="AJ91" s="88"/>
      <c r="AK91" s="216"/>
      <c r="AL91" s="113"/>
      <c r="AM91" s="89"/>
      <c r="AN91" s="89"/>
      <c r="AO91" s="89"/>
      <c r="AP91" s="89"/>
      <c r="AQ91" s="89"/>
      <c r="AR91" s="89"/>
    </row>
    <row r="92" spans="1:44" ht="28.5" hidden="1" customHeight="1" outlineLevel="1" thickBot="1" x14ac:dyDescent="0.25">
      <c r="C92" s="217" t="s">
        <v>443</v>
      </c>
      <c r="E92" s="326"/>
      <c r="F92" s="324"/>
      <c r="G92" s="324"/>
      <c r="H92" s="324"/>
      <c r="I92" s="330"/>
      <c r="J92" s="324"/>
      <c r="K92" s="327"/>
      <c r="L92" s="327"/>
      <c r="M92" s="327"/>
      <c r="N92" s="324"/>
      <c r="O92" s="324"/>
      <c r="P92" s="324"/>
      <c r="Q92" s="324"/>
      <c r="R92" s="324"/>
      <c r="S92" s="324"/>
      <c r="T92" s="324"/>
      <c r="U92" s="324"/>
      <c r="V92" s="324"/>
      <c r="W92" s="324"/>
      <c r="X92" s="324"/>
      <c r="Y92" s="324"/>
      <c r="Z92" s="324"/>
      <c r="AA92" s="324"/>
      <c r="AB92" s="324"/>
      <c r="AC92" s="324"/>
      <c r="AD92" s="324"/>
      <c r="AE92" s="324"/>
      <c r="AF92" s="324"/>
      <c r="AG92" s="324"/>
      <c r="AH92" s="324"/>
      <c r="AI92" s="325"/>
      <c r="AK92" s="210"/>
      <c r="AL92" s="113"/>
      <c r="AM92" s="89"/>
      <c r="AN92" s="89"/>
      <c r="AO92" s="89"/>
      <c r="AP92" s="89"/>
      <c r="AQ92" s="89"/>
      <c r="AR92" s="89"/>
    </row>
    <row r="93" spans="1:44" ht="28.5" hidden="1" customHeight="1" outlineLevel="1" x14ac:dyDescent="0.2">
      <c r="C93" s="217"/>
      <c r="E93" s="326"/>
      <c r="F93" s="324"/>
      <c r="G93" s="324"/>
      <c r="H93" s="324"/>
      <c r="I93" s="324"/>
      <c r="J93" s="324"/>
      <c r="K93" s="327"/>
      <c r="L93" s="327"/>
      <c r="M93" s="327"/>
      <c r="N93" s="324"/>
      <c r="O93" s="324"/>
      <c r="P93" s="324"/>
      <c r="Q93" s="324"/>
      <c r="R93" s="324"/>
      <c r="S93" s="324"/>
      <c r="T93" s="324"/>
      <c r="U93" s="324"/>
      <c r="V93" s="324"/>
      <c r="W93" s="324"/>
      <c r="X93" s="324"/>
      <c r="Y93" s="324"/>
      <c r="Z93" s="324"/>
      <c r="AA93" s="324"/>
      <c r="AB93" s="324"/>
      <c r="AC93" s="324"/>
      <c r="AD93" s="324"/>
      <c r="AE93" s="324"/>
      <c r="AF93" s="324"/>
      <c r="AG93" s="324"/>
      <c r="AH93" s="324"/>
      <c r="AI93" s="325"/>
      <c r="AK93" s="210"/>
      <c r="AL93" s="113"/>
      <c r="AM93" s="89"/>
      <c r="AN93" s="89"/>
      <c r="AO93" s="89"/>
      <c r="AP93" s="89"/>
      <c r="AQ93" s="89"/>
      <c r="AR93" s="89"/>
    </row>
    <row r="94" spans="1:44" collapsed="1" x14ac:dyDescent="0.2">
      <c r="A94" s="165"/>
      <c r="B94" s="185"/>
      <c r="C94" s="340" t="str">
        <f>IF(ctArbeitsgebiete!H20&lt;&gt;"",ctArbeitsgebiete!H20,"")</f>
        <v/>
      </c>
      <c r="D94" s="334"/>
      <c r="E94" s="944"/>
      <c r="F94" s="945"/>
      <c r="G94" s="945"/>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6"/>
      <c r="AJ94" s="1082">
        <f>SUM(E94:AI94)</f>
        <v>0</v>
      </c>
      <c r="AK94" s="152"/>
      <c r="AL94" s="113"/>
      <c r="AM94" s="89"/>
      <c r="AN94" s="89"/>
      <c r="AO94" s="89"/>
      <c r="AP94" s="89"/>
      <c r="AQ94" s="89"/>
      <c r="AR94" s="89"/>
    </row>
    <row r="95" spans="1:44" x14ac:dyDescent="0.2">
      <c r="A95" s="165"/>
      <c r="B95" s="185"/>
      <c r="C95" s="340" t="str">
        <f>IF(ctArbeitsgebiete!H21&lt;&gt;"",ctArbeitsgebiete!H21,"")</f>
        <v/>
      </c>
      <c r="D95" s="334"/>
      <c r="E95" s="944"/>
      <c r="F95" s="945"/>
      <c r="G95" s="945"/>
      <c r="H95" s="945"/>
      <c r="I95" s="945"/>
      <c r="J95" s="945"/>
      <c r="K95" s="945"/>
      <c r="L95" s="945"/>
      <c r="M95" s="945"/>
      <c r="N95" s="945"/>
      <c r="O95" s="945"/>
      <c r="P95" s="945"/>
      <c r="Q95" s="945"/>
      <c r="R95" s="945"/>
      <c r="S95" s="945"/>
      <c r="T95" s="945"/>
      <c r="U95" s="945"/>
      <c r="V95" s="945"/>
      <c r="W95" s="945"/>
      <c r="X95" s="945"/>
      <c r="Y95" s="945"/>
      <c r="Z95" s="945"/>
      <c r="AA95" s="945"/>
      <c r="AB95" s="945"/>
      <c r="AC95" s="945"/>
      <c r="AD95" s="945"/>
      <c r="AE95" s="945"/>
      <c r="AF95" s="945"/>
      <c r="AG95" s="945"/>
      <c r="AH95" s="945"/>
      <c r="AI95" s="946"/>
      <c r="AJ95" s="338">
        <f t="shared" ref="AJ95:AJ105" si="15">SUM(E95:AI95)</f>
        <v>0</v>
      </c>
      <c r="AK95" s="152"/>
      <c r="AL95" s="113"/>
      <c r="AM95" s="89"/>
      <c r="AN95" s="89"/>
      <c r="AO95" s="89"/>
      <c r="AP95" s="89"/>
      <c r="AQ95" s="89"/>
      <c r="AR95" s="89"/>
    </row>
    <row r="96" spans="1:44" x14ac:dyDescent="0.2">
      <c r="A96" s="165"/>
      <c r="B96" s="185"/>
      <c r="C96" s="340" t="str">
        <f>IF(ctArbeitsgebiete!H22&lt;&gt;"",ctArbeitsgebiete!H22,"")</f>
        <v/>
      </c>
      <c r="D96" s="334"/>
      <c r="E96" s="944"/>
      <c r="F96" s="945"/>
      <c r="G96" s="945"/>
      <c r="H96" s="945"/>
      <c r="I96" s="945"/>
      <c r="J96" s="945"/>
      <c r="K96" s="945"/>
      <c r="L96" s="945"/>
      <c r="M96" s="945"/>
      <c r="N96" s="945"/>
      <c r="O96" s="945"/>
      <c r="P96" s="945"/>
      <c r="Q96" s="945"/>
      <c r="R96" s="945"/>
      <c r="S96" s="945"/>
      <c r="T96" s="945"/>
      <c r="U96" s="945"/>
      <c r="V96" s="945"/>
      <c r="W96" s="945"/>
      <c r="X96" s="945"/>
      <c r="Y96" s="945"/>
      <c r="Z96" s="945"/>
      <c r="AA96" s="945"/>
      <c r="AB96" s="945"/>
      <c r="AC96" s="945"/>
      <c r="AD96" s="945"/>
      <c r="AE96" s="945"/>
      <c r="AF96" s="945"/>
      <c r="AG96" s="945"/>
      <c r="AH96" s="945"/>
      <c r="AI96" s="946"/>
      <c r="AJ96" s="338">
        <f t="shared" si="15"/>
        <v>0</v>
      </c>
      <c r="AK96" s="152"/>
      <c r="AL96" s="113"/>
      <c r="AM96" s="89"/>
      <c r="AN96" s="89"/>
      <c r="AO96" s="89"/>
      <c r="AP96" s="89"/>
      <c r="AQ96" s="89"/>
      <c r="AR96" s="89"/>
    </row>
    <row r="97" spans="1:44" x14ac:dyDescent="0.2">
      <c r="A97" s="165"/>
      <c r="B97" s="185"/>
      <c r="C97" s="340" t="str">
        <f>IF(ctArbeitsgebiete!H23&lt;&gt;"",ctArbeitsgebiete!H23,"")</f>
        <v/>
      </c>
      <c r="D97" s="334"/>
      <c r="E97" s="944"/>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6"/>
      <c r="AJ97" s="338">
        <f t="shared" si="15"/>
        <v>0</v>
      </c>
      <c r="AK97" s="152"/>
      <c r="AL97" s="113"/>
      <c r="AM97" s="89"/>
      <c r="AN97" s="89"/>
      <c r="AO97" s="89"/>
      <c r="AP97" s="89"/>
      <c r="AQ97" s="89"/>
      <c r="AR97" s="89"/>
    </row>
    <row r="98" spans="1:44" x14ac:dyDescent="0.2">
      <c r="A98" s="165"/>
      <c r="B98" s="185"/>
      <c r="C98" s="340" t="str">
        <f>IF(ctArbeitsgebiete!H24&lt;&gt;"",ctArbeitsgebiete!H24,"")</f>
        <v/>
      </c>
      <c r="D98" s="334"/>
      <c r="E98" s="944"/>
      <c r="F98" s="945"/>
      <c r="G98" s="945"/>
      <c r="H98" s="945"/>
      <c r="I98" s="945"/>
      <c r="J98" s="945"/>
      <c r="K98" s="945"/>
      <c r="L98" s="945"/>
      <c r="M98" s="945"/>
      <c r="N98" s="945"/>
      <c r="O98" s="945"/>
      <c r="P98" s="945"/>
      <c r="Q98" s="945"/>
      <c r="R98" s="945"/>
      <c r="S98" s="945"/>
      <c r="T98" s="945"/>
      <c r="U98" s="945"/>
      <c r="V98" s="945"/>
      <c r="W98" s="945"/>
      <c r="X98" s="945"/>
      <c r="Y98" s="945"/>
      <c r="Z98" s="945"/>
      <c r="AA98" s="945"/>
      <c r="AB98" s="945"/>
      <c r="AC98" s="945"/>
      <c r="AD98" s="945"/>
      <c r="AE98" s="945"/>
      <c r="AF98" s="945"/>
      <c r="AG98" s="945"/>
      <c r="AH98" s="945"/>
      <c r="AI98" s="946"/>
      <c r="AJ98" s="338">
        <f t="shared" si="15"/>
        <v>0</v>
      </c>
      <c r="AK98" s="152"/>
      <c r="AL98" s="113"/>
      <c r="AM98" s="89"/>
      <c r="AN98" s="89"/>
      <c r="AO98" s="89"/>
      <c r="AP98" s="89"/>
      <c r="AQ98" s="89"/>
      <c r="AR98" s="89"/>
    </row>
    <row r="99" spans="1:44" x14ac:dyDescent="0.2">
      <c r="A99" s="165"/>
      <c r="B99" s="185"/>
      <c r="C99" s="340" t="str">
        <f>IF(ctArbeitsgebiete!H25&lt;&gt;"",ctArbeitsgebiete!H25,"")</f>
        <v/>
      </c>
      <c r="D99" s="334"/>
      <c r="E99" s="944"/>
      <c r="F99" s="945"/>
      <c r="G99" s="945"/>
      <c r="H99" s="945"/>
      <c r="I99" s="945"/>
      <c r="J99" s="945"/>
      <c r="K99" s="945"/>
      <c r="L99" s="945"/>
      <c r="M99" s="945"/>
      <c r="N99" s="945"/>
      <c r="O99" s="945"/>
      <c r="P99" s="945"/>
      <c r="Q99" s="945"/>
      <c r="R99" s="945"/>
      <c r="S99" s="945"/>
      <c r="T99" s="945"/>
      <c r="U99" s="945"/>
      <c r="V99" s="945"/>
      <c r="W99" s="945"/>
      <c r="X99" s="945"/>
      <c r="Y99" s="945"/>
      <c r="Z99" s="945"/>
      <c r="AA99" s="945"/>
      <c r="AB99" s="945"/>
      <c r="AC99" s="945"/>
      <c r="AD99" s="945"/>
      <c r="AE99" s="945"/>
      <c r="AF99" s="945"/>
      <c r="AG99" s="945"/>
      <c r="AH99" s="945"/>
      <c r="AI99" s="946"/>
      <c r="AJ99" s="338">
        <f t="shared" si="15"/>
        <v>0</v>
      </c>
      <c r="AK99" s="152"/>
      <c r="AL99" s="113"/>
      <c r="AM99" s="89"/>
      <c r="AN99" s="89"/>
      <c r="AO99" s="89"/>
      <c r="AP99" s="89"/>
      <c r="AQ99" s="89"/>
      <c r="AR99" s="89"/>
    </row>
    <row r="100" spans="1:44" x14ac:dyDescent="0.2">
      <c r="A100" s="165"/>
      <c r="B100" s="185"/>
      <c r="C100" s="340" t="str">
        <f>IF(ctArbeitsgebiete!H26&lt;&gt;"",ctArbeitsgebiete!H26,"")</f>
        <v/>
      </c>
      <c r="D100" s="334"/>
      <c r="E100" s="944"/>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B100" s="945"/>
      <c r="AC100" s="945"/>
      <c r="AD100" s="945"/>
      <c r="AE100" s="945"/>
      <c r="AF100" s="945"/>
      <c r="AG100" s="945"/>
      <c r="AH100" s="945"/>
      <c r="AI100" s="946"/>
      <c r="AJ100" s="338">
        <f t="shared" si="15"/>
        <v>0</v>
      </c>
      <c r="AK100" s="152"/>
      <c r="AL100" s="113"/>
      <c r="AM100" s="89"/>
      <c r="AN100" s="89"/>
      <c r="AO100" s="89"/>
      <c r="AP100" s="89"/>
      <c r="AQ100" s="89"/>
      <c r="AR100" s="89"/>
    </row>
    <row r="101" spans="1:44" x14ac:dyDescent="0.2">
      <c r="A101" s="165"/>
      <c r="B101" s="185"/>
      <c r="C101" s="345" t="str">
        <f>IF(ctArbeitsgebiete!H27&lt;&gt;"",ctArbeitsgebiete!H27,"")</f>
        <v/>
      </c>
      <c r="D101" s="346"/>
      <c r="E101" s="947"/>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9"/>
      <c r="AJ101" s="347">
        <f t="shared" si="15"/>
        <v>0</v>
      </c>
      <c r="AK101" s="152"/>
      <c r="AL101" s="113"/>
      <c r="AM101" s="89"/>
      <c r="AN101" s="89"/>
      <c r="AO101" s="89"/>
      <c r="AP101" s="89"/>
      <c r="AQ101" s="89"/>
      <c r="AR101" s="89"/>
    </row>
    <row r="102" spans="1:44" x14ac:dyDescent="0.2">
      <c r="A102" s="165"/>
      <c r="B102" s="185"/>
      <c r="C102" s="992" t="str">
        <f>IF(ctArbeitsgebiete!E24&lt;&gt;"",ctArbeitsgebiete!E24,"")</f>
        <v/>
      </c>
      <c r="D102" s="1083"/>
      <c r="E102" s="1084"/>
      <c r="F102" s="1085"/>
      <c r="G102" s="1085"/>
      <c r="H102" s="1085"/>
      <c r="I102" s="1085"/>
      <c r="J102" s="1085"/>
      <c r="K102" s="1085"/>
      <c r="L102" s="1085"/>
      <c r="M102" s="1085"/>
      <c r="N102" s="1085"/>
      <c r="O102" s="1085"/>
      <c r="P102" s="1085"/>
      <c r="Q102" s="1085"/>
      <c r="R102" s="1085"/>
      <c r="S102" s="1085"/>
      <c r="T102" s="1085"/>
      <c r="U102" s="1085"/>
      <c r="V102" s="1085"/>
      <c r="W102" s="1085"/>
      <c r="X102" s="1085"/>
      <c r="Y102" s="1085"/>
      <c r="Z102" s="1085"/>
      <c r="AA102" s="1085"/>
      <c r="AB102" s="1085"/>
      <c r="AC102" s="1085"/>
      <c r="AD102" s="1085"/>
      <c r="AE102" s="1085"/>
      <c r="AF102" s="1085"/>
      <c r="AG102" s="1085"/>
      <c r="AH102" s="1085"/>
      <c r="AI102" s="1086"/>
      <c r="AJ102" s="1087">
        <f t="shared" si="15"/>
        <v>0</v>
      </c>
      <c r="AK102" s="152"/>
      <c r="AL102" s="113"/>
      <c r="AM102" s="89"/>
      <c r="AN102" s="89"/>
      <c r="AO102" s="89"/>
      <c r="AP102" s="89"/>
      <c r="AQ102" s="89"/>
      <c r="AR102" s="89"/>
    </row>
    <row r="103" spans="1:44" x14ac:dyDescent="0.2">
      <c r="A103" s="165"/>
      <c r="B103" s="185"/>
      <c r="C103" s="342" t="str">
        <f>IF(ctArbeitsgebiete!E25&lt;&gt;"",ctArbeitsgebiete!E25,"")</f>
        <v/>
      </c>
      <c r="D103" s="341"/>
      <c r="E103" s="944"/>
      <c r="F103" s="945"/>
      <c r="G103" s="945"/>
      <c r="H103" s="945"/>
      <c r="I103" s="945"/>
      <c r="J103" s="945"/>
      <c r="K103" s="945"/>
      <c r="L103" s="945"/>
      <c r="M103" s="945"/>
      <c r="N103" s="945"/>
      <c r="O103" s="945"/>
      <c r="P103" s="945"/>
      <c r="Q103" s="945"/>
      <c r="R103" s="945"/>
      <c r="S103" s="945"/>
      <c r="T103" s="945"/>
      <c r="U103" s="945"/>
      <c r="V103" s="945"/>
      <c r="W103" s="945"/>
      <c r="X103" s="945"/>
      <c r="Y103" s="945"/>
      <c r="Z103" s="945"/>
      <c r="AA103" s="945"/>
      <c r="AB103" s="945"/>
      <c r="AC103" s="945"/>
      <c r="AD103" s="945"/>
      <c r="AE103" s="945"/>
      <c r="AF103" s="945"/>
      <c r="AG103" s="945"/>
      <c r="AH103" s="945"/>
      <c r="AI103" s="946"/>
      <c r="AJ103" s="343">
        <f t="shared" si="15"/>
        <v>0</v>
      </c>
      <c r="AK103" s="152"/>
      <c r="AL103" s="113"/>
      <c r="AM103" s="89"/>
      <c r="AN103" s="89"/>
      <c r="AO103" s="89"/>
      <c r="AP103" s="89"/>
      <c r="AQ103" s="89"/>
      <c r="AR103" s="89"/>
    </row>
    <row r="104" spans="1:44" x14ac:dyDescent="0.2">
      <c r="A104" s="165"/>
      <c r="B104" s="185"/>
      <c r="C104" s="342" t="str">
        <f>IF(ctArbeitsgebiete!E26&lt;&gt;"",ctArbeitsgebiete!E26,"")</f>
        <v/>
      </c>
      <c r="D104" s="341"/>
      <c r="E104" s="944"/>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B104" s="945"/>
      <c r="AC104" s="945"/>
      <c r="AD104" s="945"/>
      <c r="AE104" s="945"/>
      <c r="AF104" s="945"/>
      <c r="AG104" s="945"/>
      <c r="AH104" s="945"/>
      <c r="AI104" s="946"/>
      <c r="AJ104" s="343">
        <f t="shared" si="15"/>
        <v>0</v>
      </c>
      <c r="AK104" s="152"/>
      <c r="AL104" s="113"/>
      <c r="AM104" s="89"/>
      <c r="AN104" s="89"/>
      <c r="AO104" s="89"/>
      <c r="AP104" s="89"/>
      <c r="AQ104" s="89"/>
      <c r="AR104" s="89"/>
    </row>
    <row r="105" spans="1:44" ht="13.5" thickBot="1" x14ac:dyDescent="0.25">
      <c r="A105" s="165"/>
      <c r="B105" s="185"/>
      <c r="C105" s="342" t="str">
        <f>IF(ctArbeitsgebiete!E27&lt;&gt;"",ctArbeitsgebiete!E27,"")</f>
        <v/>
      </c>
      <c r="D105" s="341"/>
      <c r="E105" s="950"/>
      <c r="F105" s="951"/>
      <c r="G105" s="951"/>
      <c r="H105" s="951"/>
      <c r="I105" s="951"/>
      <c r="J105" s="951"/>
      <c r="K105" s="951"/>
      <c r="L105" s="951"/>
      <c r="M105" s="951"/>
      <c r="N105" s="951"/>
      <c r="O105" s="951"/>
      <c r="P105" s="951"/>
      <c r="Q105" s="951"/>
      <c r="R105" s="951"/>
      <c r="S105" s="951"/>
      <c r="T105" s="951"/>
      <c r="U105" s="951"/>
      <c r="V105" s="951"/>
      <c r="W105" s="951"/>
      <c r="X105" s="951"/>
      <c r="Y105" s="951"/>
      <c r="Z105" s="951"/>
      <c r="AA105" s="951"/>
      <c r="AB105" s="951"/>
      <c r="AC105" s="951"/>
      <c r="AD105" s="951"/>
      <c r="AE105" s="951"/>
      <c r="AF105" s="951"/>
      <c r="AG105" s="951"/>
      <c r="AH105" s="951"/>
      <c r="AI105" s="952"/>
      <c r="AJ105" s="344">
        <f t="shared" si="15"/>
        <v>0</v>
      </c>
      <c r="AK105" s="152"/>
      <c r="AL105" s="113"/>
      <c r="AM105" s="89"/>
      <c r="AN105" s="89"/>
      <c r="AO105" s="89"/>
      <c r="AP105" s="89"/>
      <c r="AQ105" s="89"/>
      <c r="AR105" s="89"/>
    </row>
    <row r="106" spans="1:44" s="218" customFormat="1" ht="63.75" collapsed="1" x14ac:dyDescent="0.2">
      <c r="C106" s="219" t="s">
        <v>444</v>
      </c>
      <c r="D106" s="220"/>
      <c r="E106" s="335"/>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6"/>
      <c r="AF106" s="336"/>
      <c r="AG106" s="336"/>
      <c r="AH106" s="336"/>
      <c r="AI106" s="337"/>
      <c r="AJ106" s="339">
        <f>SUM(E106:AI106)</f>
        <v>0</v>
      </c>
      <c r="AL106" s="222"/>
    </row>
  </sheetData>
  <sheetProtection algorithmName="SHA-512" hashValue="fQgm8MFVlmwJ0Tebq9cN4QR34JI7ZDj5RcByqqVT/ndohPIDuT57jEHIyp82lHo91+iujUZN1lz22kOO9ts+aw==" saltValue="fUQWPfdiwlKYVhnkwhGEOw==" spinCount="100000" sheet="1" selectLockedCells="1"/>
  <mergeCells count="1">
    <mergeCell ref="D3:D4"/>
  </mergeCells>
  <phoneticPr fontId="9" type="noConversion"/>
  <conditionalFormatting sqref="E3:AH4">
    <cfRule type="expression" dxfId="222" priority="104" stopIfTrue="1">
      <formula>WEEKDAY(E$3,2)=7</formula>
    </cfRule>
  </conditionalFormatting>
  <conditionalFormatting sqref="E7:AH7 E9:AH9">
    <cfRule type="expression" dxfId="221" priority="1" stopIfTrue="1">
      <formula>WEEKDAY(E$3,2)=6</formula>
    </cfRule>
    <cfRule type="expression" dxfId="220" priority="2" stopIfTrue="1">
      <formula>WEEKDAY(E$3,2)=7</formula>
    </cfRule>
  </conditionalFormatting>
  <conditionalFormatting sqref="E8:AH8 E10:AH10">
    <cfRule type="expression" dxfId="219" priority="3" stopIfTrue="1">
      <formula>WEEKDAY(E$3,2)=6</formula>
    </cfRule>
    <cfRule type="expression" dxfId="218" priority="4" stopIfTrue="1">
      <formula>WEEKDAY(E$3,2)=7</formula>
    </cfRule>
  </conditionalFormatting>
  <conditionalFormatting sqref="E11:AH11">
    <cfRule type="expression" dxfId="217" priority="99" stopIfTrue="1">
      <formula>WEEKDAY(E$3,2)=6</formula>
    </cfRule>
    <cfRule type="expression" dxfId="216" priority="100" stopIfTrue="1">
      <formula>WEEKDAY(E$3,2)=7</formula>
    </cfRule>
  </conditionalFormatting>
  <conditionalFormatting sqref="E12:AH12">
    <cfRule type="expression" dxfId="215" priority="101" stopIfTrue="1">
      <formula>WEEKDAY(E$3,2)=6</formula>
    </cfRule>
    <cfRule type="expression" dxfId="214" priority="102" stopIfTrue="1">
      <formula>WEEKDAY(E$3,2)=7</formula>
    </cfRule>
  </conditionalFormatting>
  <conditionalFormatting sqref="E3:AI4">
    <cfRule type="expression" dxfId="213" priority="103" stopIfTrue="1">
      <formula>WEEKDAY(E$3,2)=6</formula>
    </cfRule>
  </conditionalFormatting>
  <conditionalFormatting sqref="E13:AI18">
    <cfRule type="expression" dxfId="212" priority="105" stopIfTrue="1">
      <formula>WEEKDAY(E$3,2)=6</formula>
    </cfRule>
    <cfRule type="expression" dxfId="211" priority="106" stopIfTrue="1">
      <formula>WEEKDAY(E$3,2)=7</formula>
    </cfRule>
  </conditionalFormatting>
  <conditionalFormatting sqref="E19:AI19">
    <cfRule type="expression" dxfId="210" priority="107" stopIfTrue="1">
      <formula>WEEKDAY(E$3,2)=6</formula>
    </cfRule>
    <cfRule type="expression" dxfId="209" priority="108" stopIfTrue="1">
      <formula>WEEKDAY(E$3,2)=7</formula>
    </cfRule>
  </conditionalFormatting>
  <conditionalFormatting sqref="E20:AI20 E39:AI39">
    <cfRule type="expression" dxfId="208" priority="95" stopIfTrue="1">
      <formula>WEEKDAY(E$3,2)=6</formula>
    </cfRule>
    <cfRule type="expression" dxfId="207" priority="96" stopIfTrue="1">
      <formula>WEEKDAY(E$3,2)=7</formula>
    </cfRule>
  </conditionalFormatting>
  <conditionalFormatting sqref="E21:AI21 E33:AI38">
    <cfRule type="expression" dxfId="206" priority="93" stopIfTrue="1">
      <formula>WEEKDAY(E$3,2)=6</formula>
    </cfRule>
    <cfRule type="expression" dxfId="205" priority="94" stopIfTrue="1">
      <formula>WEEKDAY(E$3,2)=7</formula>
    </cfRule>
  </conditionalFormatting>
  <conditionalFormatting sqref="E22:AI32 E41:AI85 E94:AI106">
    <cfRule type="expression" dxfId="204" priority="97" stopIfTrue="1">
      <formula>WEEKDAY(E$3,2)=6</formula>
    </cfRule>
    <cfRule type="expression" dxfId="203" priority="98" stopIfTrue="1">
      <formula>WEEKDAY(E$3,2)=7</formula>
    </cfRule>
  </conditionalFormatting>
  <conditionalFormatting sqref="E40:AI40">
    <cfRule type="cellIs" dxfId="202" priority="109" stopIfTrue="1" operator="notEqual">
      <formula>0</formula>
    </cfRule>
    <cfRule type="expression" dxfId="201" priority="110" stopIfTrue="1">
      <formula>WEEKDAY(E$3,2)=6</formula>
    </cfRule>
    <cfRule type="expression" dxfId="200" priority="111" stopIfTrue="1">
      <formula>WEEKDAY(E$3,2)=7</formula>
    </cfRule>
  </conditionalFormatting>
  <conditionalFormatting sqref="AI3:AI4">
    <cfRule type="expression" dxfId="199" priority="115" stopIfTrue="1">
      <formula>WEEKDAY(AI$3,2)=7</formula>
    </cfRule>
  </conditionalFormatting>
  <conditionalFormatting sqref="AI7:AI12">
    <cfRule type="expression" dxfId="198" priority="112" stopIfTrue="1">
      <formula>WEEKDAY(AI$3,2)=6</formula>
    </cfRule>
    <cfRule type="expression" dxfId="197" priority="113" stopIfTrue="1">
      <formula>WEEKDAY(AI$3,2)=7</formula>
    </cfRule>
  </conditionalFormatting>
  <printOptions horizontalCentered="1" verticalCentered="1"/>
  <pageMargins left="0.19685039370078741" right="0.19685039370078741" top="0.39370078740157483" bottom="0.19685039370078741" header="0.31496062992125984" footer="0.19685039370078741"/>
  <pageSetup paperSize="9" scale="53" orientation="landscape"/>
  <headerFooter>
    <oddHeader>&amp;C&amp;12Monatsabrechnung   &amp;A</oddHead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pageSetUpPr fitToPage="1"/>
  </sheetPr>
  <dimension ref="A1:AT106"/>
  <sheetViews>
    <sheetView showGridLines="0" showRowColHeaders="0" showZeros="0" showOutlineSymbols="0" topLeftCell="C2" zoomScale="80" zoomScaleNormal="80" workbookViewId="0">
      <pane xSplit="2" ySplit="39" topLeftCell="E41" activePane="bottomRight" state="frozen"/>
      <selection pane="topRight"/>
      <selection pane="bottomLeft"/>
      <selection pane="bottomRight" activeCell="E7" sqref="E7"/>
    </sheetView>
  </sheetViews>
  <sheetFormatPr baseColWidth="10" defaultColWidth="11.42578125" defaultRowHeight="12.75" outlineLevelRow="2" outlineLevelCol="1" x14ac:dyDescent="0.2"/>
  <cols>
    <col min="1" max="1" width="11.42578125" style="8" hidden="1" customWidth="1" outlineLevel="1"/>
    <col min="2" max="2" width="8.42578125" style="13" hidden="1" customWidth="1" outlineLevel="1"/>
    <col min="3" max="3" width="22.42578125" style="87" customWidth="1" collapsed="1"/>
    <col min="4" max="4" width="7.85546875" style="13" customWidth="1"/>
    <col min="5" max="35" width="7.42578125" style="13" customWidth="1"/>
    <col min="36" max="36" width="7.42578125" style="209" customWidth="1"/>
    <col min="37" max="37" width="7.7109375" style="13" hidden="1" customWidth="1" outlineLevel="1"/>
    <col min="38" max="38" width="15.7109375" style="182" hidden="1" customWidth="1" outlineLevel="1"/>
    <col min="39" max="40" width="0" style="8" hidden="1" customWidth="1" outlineLevel="1"/>
    <col min="41" max="41" width="26.7109375" style="8" hidden="1" customWidth="1" outlineLevel="1"/>
    <col min="42" max="44" width="0" style="8" hidden="1" customWidth="1" outlineLevel="1"/>
    <col min="45" max="45" width="11.42578125" style="8" collapsed="1"/>
    <col min="46" max="16384" width="11.42578125" style="8"/>
  </cols>
  <sheetData>
    <row r="1" spans="2:46" ht="30" hidden="1" customHeight="1" outlineLevel="1" thickBot="1" x14ac:dyDescent="0.25">
      <c r="AF1" s="8"/>
      <c r="AJ1" s="88"/>
      <c r="AK1" s="89"/>
      <c r="AL1" s="90" t="s">
        <v>406</v>
      </c>
      <c r="AM1" s="91" t="s">
        <v>407</v>
      </c>
      <c r="AN1" s="89"/>
      <c r="AO1" s="89"/>
      <c r="AP1" s="89"/>
      <c r="AQ1" s="89"/>
      <c r="AR1" s="89"/>
    </row>
    <row r="2" spans="2:46" ht="30" customHeight="1" collapsed="1" thickBot="1" x14ac:dyDescent="0.25">
      <c r="C2" s="92">
        <f>DATEVALUE("1.5."&amp;YEAR(ctPersonalangaben!H12))</f>
        <v>44681</v>
      </c>
      <c r="D2" s="93">
        <f>YEAR(ctPersonalangaben!H12)</f>
        <v>2026</v>
      </c>
      <c r="E2" s="897" t="str">
        <f>CONCATENATE("Arbeitszeit-Eingabe von ",Mitarbeiter)</f>
        <v>Arbeitszeit-Eingabe von Max Muster, Musterstelle</v>
      </c>
      <c r="F2" s="6"/>
      <c r="G2" s="6"/>
      <c r="H2" s="6"/>
      <c r="I2" s="94"/>
      <c r="J2" s="6"/>
      <c r="K2" s="6"/>
      <c r="L2" s="6"/>
      <c r="M2" s="6"/>
      <c r="N2" s="6"/>
      <c r="O2" s="6"/>
      <c r="P2" s="6"/>
      <c r="Q2" s="6"/>
      <c r="R2" s="6"/>
      <c r="S2" s="95"/>
      <c r="T2" s="96"/>
      <c r="U2" s="96"/>
      <c r="V2" s="97"/>
      <c r="W2" s="97"/>
      <c r="X2" s="97"/>
      <c r="Y2" s="97"/>
      <c r="Z2" s="97"/>
      <c r="AA2" s="97"/>
      <c r="AB2" s="97"/>
      <c r="AC2" s="97"/>
      <c r="AD2" s="98"/>
      <c r="AE2" s="97"/>
      <c r="AF2" s="99"/>
      <c r="AG2" s="100" t="s">
        <v>408</v>
      </c>
      <c r="AH2" s="99">
        <f>VLOOKUP(DATE($D$2,MONTH($C$2),$E$4),Ferienanspruch,3,TRUE)</f>
        <v>100</v>
      </c>
      <c r="AI2" s="101" t="s">
        <v>106</v>
      </c>
      <c r="AJ2" s="88"/>
      <c r="AK2" s="102"/>
      <c r="AL2" s="91"/>
      <c r="AM2" s="91" t="s">
        <v>409</v>
      </c>
      <c r="AN2" s="89"/>
      <c r="AO2" s="89"/>
      <c r="AP2" s="89"/>
      <c r="AQ2" s="89"/>
      <c r="AR2" s="89"/>
    </row>
    <row r="3" spans="2:46" x14ac:dyDescent="0.2">
      <c r="C3" s="7"/>
      <c r="D3" s="1254" t="s">
        <v>254</v>
      </c>
      <c r="E3" s="226">
        <f t="shared" ref="E3:AF3" si="0">DATE($D$2,MONTH($C$2),E$4)</f>
        <v>44681</v>
      </c>
      <c r="F3" s="103">
        <f t="shared" si="0"/>
        <v>44682</v>
      </c>
      <c r="G3" s="103">
        <f t="shared" si="0"/>
        <v>44683</v>
      </c>
      <c r="H3" s="103">
        <f t="shared" si="0"/>
        <v>44684</v>
      </c>
      <c r="I3" s="226">
        <f t="shared" si="0"/>
        <v>44685</v>
      </c>
      <c r="J3" s="103">
        <f t="shared" si="0"/>
        <v>44686</v>
      </c>
      <c r="K3" s="103">
        <f t="shared" si="0"/>
        <v>44687</v>
      </c>
      <c r="L3" s="103">
        <f t="shared" si="0"/>
        <v>44688</v>
      </c>
      <c r="M3" s="103">
        <f t="shared" si="0"/>
        <v>44689</v>
      </c>
      <c r="N3" s="103">
        <f t="shared" si="0"/>
        <v>44690</v>
      </c>
      <c r="O3" s="103">
        <f t="shared" si="0"/>
        <v>44691</v>
      </c>
      <c r="P3" s="103">
        <f t="shared" si="0"/>
        <v>44692</v>
      </c>
      <c r="Q3" s="103">
        <f t="shared" si="0"/>
        <v>44693</v>
      </c>
      <c r="R3" s="103">
        <f t="shared" si="0"/>
        <v>44694</v>
      </c>
      <c r="S3" s="103">
        <f t="shared" si="0"/>
        <v>44695</v>
      </c>
      <c r="T3" s="103">
        <f t="shared" si="0"/>
        <v>44696</v>
      </c>
      <c r="U3" s="103">
        <f t="shared" si="0"/>
        <v>44697</v>
      </c>
      <c r="V3" s="103">
        <f t="shared" si="0"/>
        <v>44698</v>
      </c>
      <c r="W3" s="103">
        <f t="shared" si="0"/>
        <v>44699</v>
      </c>
      <c r="X3" s="103">
        <f t="shared" si="0"/>
        <v>44700</v>
      </c>
      <c r="Y3" s="103">
        <f t="shared" si="0"/>
        <v>44701</v>
      </c>
      <c r="Z3" s="103">
        <f t="shared" si="0"/>
        <v>44702</v>
      </c>
      <c r="AA3" s="103">
        <f t="shared" si="0"/>
        <v>44703</v>
      </c>
      <c r="AB3" s="103">
        <f t="shared" si="0"/>
        <v>44704</v>
      </c>
      <c r="AC3" s="103">
        <f t="shared" si="0"/>
        <v>44705</v>
      </c>
      <c r="AD3" s="104">
        <f t="shared" si="0"/>
        <v>44706</v>
      </c>
      <c r="AE3" s="104">
        <f t="shared" si="0"/>
        <v>44707</v>
      </c>
      <c r="AF3" s="104">
        <f t="shared" si="0"/>
        <v>44708</v>
      </c>
      <c r="AG3" s="104">
        <f>IF(MONTH($C2+AG$5) = MONTH($C2),DATE($D$2,MONTH($C$2),AG$5+1),"")</f>
        <v>44709</v>
      </c>
      <c r="AH3" s="104">
        <f>IF(MONTH($C2+AH$5) = MONTH($C2),DATE($D$2,MONTH($C$2),AH$5+1),"")</f>
        <v>44710</v>
      </c>
      <c r="AI3" s="105">
        <f>IF(MONTH($C2+AI$5) = MONTH($C2),DATE($D$2,MONTH($C$2),AI$5+1),"")</f>
        <v>44711</v>
      </c>
      <c r="AJ3" s="88"/>
      <c r="AK3" s="106"/>
      <c r="AL3" s="91"/>
      <c r="AM3" s="91"/>
      <c r="AN3" s="89"/>
      <c r="AO3" s="89"/>
      <c r="AP3" s="89"/>
      <c r="AQ3" s="89"/>
      <c r="AR3" s="89"/>
    </row>
    <row r="4" spans="2:46" ht="19.5" customHeight="1" x14ac:dyDescent="0.2">
      <c r="C4" s="13"/>
      <c r="D4" s="1255"/>
      <c r="E4" s="227">
        <v>1</v>
      </c>
      <c r="F4" s="107">
        <v>2</v>
      </c>
      <c r="G4" s="107">
        <v>3</v>
      </c>
      <c r="H4" s="107">
        <v>4</v>
      </c>
      <c r="I4" s="227">
        <v>5</v>
      </c>
      <c r="J4" s="107">
        <v>6</v>
      </c>
      <c r="K4" s="107">
        <v>7</v>
      </c>
      <c r="L4" s="107">
        <v>8</v>
      </c>
      <c r="M4" s="107">
        <v>9</v>
      </c>
      <c r="N4" s="107">
        <v>10</v>
      </c>
      <c r="O4" s="107">
        <v>11</v>
      </c>
      <c r="P4" s="107">
        <v>12</v>
      </c>
      <c r="Q4" s="107">
        <v>13</v>
      </c>
      <c r="R4" s="107">
        <v>14</v>
      </c>
      <c r="S4" s="107">
        <v>15</v>
      </c>
      <c r="T4" s="107">
        <v>16</v>
      </c>
      <c r="U4" s="107">
        <v>17</v>
      </c>
      <c r="V4" s="107">
        <v>18</v>
      </c>
      <c r="W4" s="107">
        <v>19</v>
      </c>
      <c r="X4" s="107">
        <v>20</v>
      </c>
      <c r="Y4" s="107">
        <v>21</v>
      </c>
      <c r="Z4" s="107">
        <v>22</v>
      </c>
      <c r="AA4" s="107">
        <v>23</v>
      </c>
      <c r="AB4" s="107">
        <v>24</v>
      </c>
      <c r="AC4" s="107">
        <v>25</v>
      </c>
      <c r="AD4" s="107">
        <v>26</v>
      </c>
      <c r="AE4" s="107">
        <v>27</v>
      </c>
      <c r="AF4" s="107">
        <v>28</v>
      </c>
      <c r="AG4" s="107">
        <f>IF(MONTH($C2+AG5) = MONTH($C2),AG$5+1,"")</f>
        <v>29</v>
      </c>
      <c r="AH4" s="107">
        <f>IF(MONTH($C2+AH5) = MONTH($C2),AH$5+1,"")</f>
        <v>30</v>
      </c>
      <c r="AI4" s="108">
        <f>IF(MONTH($C2+AI5) = MONTH($C2),AI$5+1,"")</f>
        <v>31</v>
      </c>
      <c r="AJ4" s="88"/>
      <c r="AK4" s="106"/>
      <c r="AL4" s="91"/>
      <c r="AM4" s="91"/>
      <c r="AN4" s="89"/>
      <c r="AO4" s="89"/>
      <c r="AP4" s="89"/>
      <c r="AQ4" s="89"/>
      <c r="AR4" s="89"/>
    </row>
    <row r="5" spans="2:46" ht="19.5" hidden="1" customHeight="1" outlineLevel="1" x14ac:dyDescent="0.2">
      <c r="C5" s="13"/>
      <c r="D5" s="109"/>
      <c r="E5" s="110"/>
      <c r="F5" s="110">
        <v>1</v>
      </c>
      <c r="G5" s="110">
        <v>2</v>
      </c>
      <c r="H5" s="228">
        <v>3</v>
      </c>
      <c r="I5" s="110">
        <v>4</v>
      </c>
      <c r="J5" s="110">
        <v>5</v>
      </c>
      <c r="K5" s="110">
        <v>6</v>
      </c>
      <c r="L5" s="110">
        <v>7</v>
      </c>
      <c r="M5" s="110">
        <v>8</v>
      </c>
      <c r="N5" s="110">
        <v>9</v>
      </c>
      <c r="O5" s="110">
        <v>10</v>
      </c>
      <c r="P5" s="110">
        <v>11</v>
      </c>
      <c r="Q5" s="110">
        <v>12</v>
      </c>
      <c r="R5" s="110">
        <v>13</v>
      </c>
      <c r="S5" s="110">
        <v>14</v>
      </c>
      <c r="T5" s="110">
        <v>15</v>
      </c>
      <c r="U5" s="110">
        <v>16</v>
      </c>
      <c r="V5" s="110">
        <v>17</v>
      </c>
      <c r="W5" s="110">
        <v>18</v>
      </c>
      <c r="X5" s="110">
        <v>19</v>
      </c>
      <c r="Y5" s="110">
        <v>20</v>
      </c>
      <c r="Z5" s="110">
        <v>21</v>
      </c>
      <c r="AA5" s="110">
        <v>22</v>
      </c>
      <c r="AB5" s="110">
        <v>23</v>
      </c>
      <c r="AC5" s="110">
        <v>24</v>
      </c>
      <c r="AD5" s="110">
        <v>25</v>
      </c>
      <c r="AE5" s="110">
        <v>26</v>
      </c>
      <c r="AF5" s="110">
        <v>27</v>
      </c>
      <c r="AG5" s="110">
        <v>28</v>
      </c>
      <c r="AH5" s="110">
        <v>29</v>
      </c>
      <c r="AI5" s="111">
        <v>30</v>
      </c>
      <c r="AJ5" s="88"/>
      <c r="AK5" s="102"/>
      <c r="AL5" s="91"/>
      <c r="AM5" s="91"/>
      <c r="AN5" s="89"/>
      <c r="AO5" s="89"/>
      <c r="AP5" s="89"/>
      <c r="AQ5" s="89"/>
      <c r="AR5" s="89"/>
    </row>
    <row r="6" spans="2:46" ht="19.5" hidden="1" customHeight="1" outlineLevel="1" x14ac:dyDescent="0.2">
      <c r="C6" s="13"/>
      <c r="D6" s="109"/>
      <c r="E6" s="288">
        <f>WEEKDAY(E$3,2)</f>
        <v>5</v>
      </c>
      <c r="F6" s="288">
        <f t="shared" ref="F6:AF6" si="1">WEEKDAY(F$3,2)</f>
        <v>6</v>
      </c>
      <c r="G6" s="288">
        <f t="shared" si="1"/>
        <v>7</v>
      </c>
      <c r="H6" s="898">
        <f t="shared" si="1"/>
        <v>1</v>
      </c>
      <c r="I6" s="288">
        <f t="shared" si="1"/>
        <v>2</v>
      </c>
      <c r="J6" s="288">
        <f t="shared" si="1"/>
        <v>3</v>
      </c>
      <c r="K6" s="288">
        <f t="shared" si="1"/>
        <v>4</v>
      </c>
      <c r="L6" s="288">
        <f t="shared" si="1"/>
        <v>5</v>
      </c>
      <c r="M6" s="288">
        <f t="shared" si="1"/>
        <v>6</v>
      </c>
      <c r="N6" s="288">
        <f t="shared" si="1"/>
        <v>7</v>
      </c>
      <c r="O6" s="288">
        <f t="shared" si="1"/>
        <v>1</v>
      </c>
      <c r="P6" s="288">
        <f t="shared" si="1"/>
        <v>2</v>
      </c>
      <c r="Q6" s="288">
        <f t="shared" si="1"/>
        <v>3</v>
      </c>
      <c r="R6" s="288">
        <f t="shared" si="1"/>
        <v>4</v>
      </c>
      <c r="S6" s="288">
        <f t="shared" si="1"/>
        <v>5</v>
      </c>
      <c r="T6" s="288">
        <f t="shared" si="1"/>
        <v>6</v>
      </c>
      <c r="U6" s="288">
        <f t="shared" si="1"/>
        <v>7</v>
      </c>
      <c r="V6" s="288">
        <f t="shared" si="1"/>
        <v>1</v>
      </c>
      <c r="W6" s="288">
        <f t="shared" si="1"/>
        <v>2</v>
      </c>
      <c r="X6" s="288">
        <f t="shared" si="1"/>
        <v>3</v>
      </c>
      <c r="Y6" s="288">
        <f t="shared" si="1"/>
        <v>4</v>
      </c>
      <c r="Z6" s="288">
        <f t="shared" si="1"/>
        <v>5</v>
      </c>
      <c r="AA6" s="288">
        <f t="shared" si="1"/>
        <v>6</v>
      </c>
      <c r="AB6" s="288">
        <f t="shared" si="1"/>
        <v>7</v>
      </c>
      <c r="AC6" s="288">
        <f t="shared" si="1"/>
        <v>1</v>
      </c>
      <c r="AD6" s="288">
        <f t="shared" si="1"/>
        <v>2</v>
      </c>
      <c r="AE6" s="288">
        <f t="shared" si="1"/>
        <v>3</v>
      </c>
      <c r="AF6" s="288">
        <f t="shared" si="1"/>
        <v>4</v>
      </c>
      <c r="AG6" s="288">
        <f>IF(AG3&lt;&gt;"",WEEKDAY(AG$3,2),"")</f>
        <v>5</v>
      </c>
      <c r="AH6" s="288"/>
      <c r="AI6" s="899"/>
      <c r="AJ6" s="88"/>
      <c r="AK6" s="102"/>
      <c r="AL6" s="91"/>
      <c r="AM6" s="91"/>
      <c r="AN6" s="89"/>
      <c r="AO6" s="89"/>
      <c r="AP6" s="89"/>
      <c r="AQ6" s="89"/>
      <c r="AR6" s="89"/>
    </row>
    <row r="7" spans="2:46" ht="22.5" customHeight="1" collapsed="1" x14ac:dyDescent="0.2">
      <c r="C7" s="8"/>
      <c r="D7" s="112" t="str">
        <f>Januar!D7</f>
        <v>Beginn</v>
      </c>
      <c r="E7" s="1042">
        <v>0</v>
      </c>
      <c r="F7" s="1042">
        <v>0</v>
      </c>
      <c r="G7" s="1042">
        <v>0</v>
      </c>
      <c r="H7" s="1042">
        <v>0</v>
      </c>
      <c r="I7" s="1042">
        <v>0</v>
      </c>
      <c r="J7" s="1042">
        <v>0</v>
      </c>
      <c r="K7" s="1042">
        <v>0</v>
      </c>
      <c r="L7" s="1042">
        <v>0</v>
      </c>
      <c r="M7" s="1042">
        <v>0</v>
      </c>
      <c r="N7" s="1042">
        <v>0</v>
      </c>
      <c r="O7" s="1042">
        <v>0</v>
      </c>
      <c r="P7" s="1042">
        <v>0</v>
      </c>
      <c r="Q7" s="1042">
        <v>0</v>
      </c>
      <c r="R7" s="1042">
        <v>0</v>
      </c>
      <c r="S7" s="1042">
        <v>0</v>
      </c>
      <c r="T7" s="1042">
        <v>0</v>
      </c>
      <c r="U7" s="1042">
        <v>0</v>
      </c>
      <c r="V7" s="1042">
        <v>0</v>
      </c>
      <c r="W7" s="1042">
        <v>0</v>
      </c>
      <c r="X7" s="1042">
        <v>0</v>
      </c>
      <c r="Y7" s="1042">
        <v>0</v>
      </c>
      <c r="Z7" s="1042">
        <v>0</v>
      </c>
      <c r="AA7" s="1042">
        <v>0</v>
      </c>
      <c r="AB7" s="1042">
        <v>0</v>
      </c>
      <c r="AC7" s="1042">
        <v>0</v>
      </c>
      <c r="AD7" s="1042">
        <v>0</v>
      </c>
      <c r="AE7" s="1042">
        <v>0</v>
      </c>
      <c r="AF7" s="1042">
        <v>0</v>
      </c>
      <c r="AG7" s="1042">
        <v>0</v>
      </c>
      <c r="AH7" s="1042">
        <v>0</v>
      </c>
      <c r="AI7" s="1043">
        <v>0</v>
      </c>
      <c r="AJ7" s="88"/>
      <c r="AK7" s="900"/>
      <c r="AL7" s="91"/>
      <c r="AM7" s="91"/>
      <c r="AN7" s="113"/>
      <c r="AO7" s="89"/>
      <c r="AP7" s="89"/>
      <c r="AQ7" s="89"/>
      <c r="AR7" s="89"/>
    </row>
    <row r="8" spans="2:46" ht="22.5" customHeight="1" x14ac:dyDescent="0.2">
      <c r="C8" s="901"/>
      <c r="D8" s="112" t="str">
        <f>Januar!D8</f>
        <v>Ende</v>
      </c>
      <c r="E8" s="235"/>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4"/>
      <c r="AJ8" s="88"/>
      <c r="AK8" s="900"/>
      <c r="AL8" s="91"/>
      <c r="AM8" s="91"/>
      <c r="AN8" s="89"/>
      <c r="AO8" s="89"/>
      <c r="AP8" s="89"/>
      <c r="AQ8" s="89"/>
      <c r="AR8" s="89"/>
    </row>
    <row r="9" spans="2:46" ht="22.5" customHeight="1" x14ac:dyDescent="0.2">
      <c r="C9" s="8"/>
      <c r="D9" s="112" t="str">
        <f>Januar!D9</f>
        <v>Beginn</v>
      </c>
      <c r="E9" s="1041"/>
      <c r="F9" s="1042"/>
      <c r="G9" s="1042"/>
      <c r="H9" s="1042"/>
      <c r="I9" s="1042"/>
      <c r="J9" s="1042"/>
      <c r="K9" s="1042"/>
      <c r="L9" s="1042"/>
      <c r="M9" s="1042"/>
      <c r="N9" s="1042"/>
      <c r="O9" s="1042"/>
      <c r="P9" s="1042"/>
      <c r="Q9" s="1042"/>
      <c r="R9" s="1042"/>
      <c r="S9" s="1042"/>
      <c r="T9" s="1042"/>
      <c r="U9" s="1042"/>
      <c r="V9" s="1042"/>
      <c r="W9" s="1042"/>
      <c r="X9" s="1042"/>
      <c r="Y9" s="1042"/>
      <c r="Z9" s="1042"/>
      <c r="AA9" s="1042"/>
      <c r="AB9" s="1042"/>
      <c r="AC9" s="1042"/>
      <c r="AD9" s="1042"/>
      <c r="AE9" s="1042"/>
      <c r="AF9" s="1042"/>
      <c r="AG9" s="1042"/>
      <c r="AH9" s="1042"/>
      <c r="AI9" s="1043"/>
      <c r="AJ9" s="88"/>
      <c r="AK9" s="900"/>
      <c r="AL9" s="91"/>
      <c r="AM9" s="91"/>
      <c r="AN9" s="89"/>
      <c r="AO9" s="89"/>
      <c r="AP9" s="89"/>
      <c r="AQ9" s="89"/>
      <c r="AR9" s="89"/>
    </row>
    <row r="10" spans="2:46" ht="22.5" customHeight="1" x14ac:dyDescent="0.2">
      <c r="C10" s="901"/>
      <c r="D10" s="112" t="str">
        <f>Januar!D10</f>
        <v>Ende</v>
      </c>
      <c r="E10" s="235"/>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4"/>
      <c r="AJ10" s="88"/>
      <c r="AK10" s="900"/>
      <c r="AL10" s="900"/>
      <c r="AM10" s="114"/>
      <c r="AN10" s="114"/>
      <c r="AO10" s="114"/>
      <c r="AP10" s="89"/>
      <c r="AQ10" s="89"/>
      <c r="AR10" s="89"/>
    </row>
    <row r="11" spans="2:46" ht="22.5" customHeight="1" x14ac:dyDescent="0.2">
      <c r="C11" s="8"/>
      <c r="D11" s="112" t="str">
        <f>Januar!D11</f>
        <v>Beginn</v>
      </c>
      <c r="E11" s="1041"/>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3"/>
      <c r="AJ11" s="88"/>
      <c r="AK11" s="115"/>
      <c r="AL11" s="89"/>
      <c r="AM11" s="89"/>
      <c r="AN11" s="89"/>
      <c r="AO11" s="89"/>
      <c r="AP11" s="89"/>
      <c r="AQ11" s="89"/>
      <c r="AR11" s="89"/>
    </row>
    <row r="12" spans="2:46" ht="22.5" customHeight="1" x14ac:dyDescent="0.2">
      <c r="C12" s="116"/>
      <c r="D12" s="112" t="str">
        <f>Januar!D12</f>
        <v>Ende</v>
      </c>
      <c r="E12" s="235"/>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4"/>
      <c r="AJ12" s="88"/>
      <c r="AK12" s="902"/>
      <c r="AL12" s="91" t="s">
        <v>411</v>
      </c>
      <c r="AM12" s="91"/>
      <c r="AN12" s="113"/>
      <c r="AO12" s="89"/>
      <c r="AP12" s="89"/>
      <c r="AQ12" s="89"/>
      <c r="AR12" s="89"/>
    </row>
    <row r="13" spans="2:46" s="123" customFormat="1" x14ac:dyDescent="0.2">
      <c r="B13" s="117"/>
      <c r="C13" s="118" t="str">
        <f>Januar!C13</f>
        <v>Effektive Arbeitszeit</v>
      </c>
      <c r="D13" s="119"/>
      <c r="E13" s="1044">
        <f>IF(COUNT(E7:E12)&gt;0,E12-E11+E10-E9+E8-E7,E39)</f>
        <v>0</v>
      </c>
      <c r="F13" s="1045">
        <f t="shared" ref="F13:AI13" si="2">IF(COUNT(F7:F12)&gt;0,F12-F11+F10-F9+F8-F7,F39)</f>
        <v>0</v>
      </c>
      <c r="G13" s="1045">
        <f t="shared" si="2"/>
        <v>0</v>
      </c>
      <c r="H13" s="1045">
        <f t="shared" si="2"/>
        <v>0</v>
      </c>
      <c r="I13" s="1045">
        <f t="shared" si="2"/>
        <v>0</v>
      </c>
      <c r="J13" s="1045">
        <f t="shared" si="2"/>
        <v>0</v>
      </c>
      <c r="K13" s="1045">
        <f t="shared" si="2"/>
        <v>0</v>
      </c>
      <c r="L13" s="1045">
        <f t="shared" si="2"/>
        <v>0</v>
      </c>
      <c r="M13" s="1045">
        <f t="shared" si="2"/>
        <v>0</v>
      </c>
      <c r="N13" s="1045">
        <f t="shared" si="2"/>
        <v>0</v>
      </c>
      <c r="O13" s="1045">
        <f t="shared" si="2"/>
        <v>0</v>
      </c>
      <c r="P13" s="1045">
        <f t="shared" si="2"/>
        <v>0</v>
      </c>
      <c r="Q13" s="1045">
        <f t="shared" si="2"/>
        <v>0</v>
      </c>
      <c r="R13" s="1045">
        <f t="shared" si="2"/>
        <v>0</v>
      </c>
      <c r="S13" s="1045">
        <f t="shared" si="2"/>
        <v>0</v>
      </c>
      <c r="T13" s="1045">
        <f t="shared" si="2"/>
        <v>0</v>
      </c>
      <c r="U13" s="1045">
        <f t="shared" si="2"/>
        <v>0</v>
      </c>
      <c r="V13" s="1045">
        <f t="shared" si="2"/>
        <v>0</v>
      </c>
      <c r="W13" s="1045">
        <f t="shared" si="2"/>
        <v>0</v>
      </c>
      <c r="X13" s="1045">
        <f t="shared" si="2"/>
        <v>0</v>
      </c>
      <c r="Y13" s="1045">
        <f t="shared" si="2"/>
        <v>0</v>
      </c>
      <c r="Z13" s="1045">
        <f t="shared" si="2"/>
        <v>0</v>
      </c>
      <c r="AA13" s="1045">
        <f t="shared" si="2"/>
        <v>0</v>
      </c>
      <c r="AB13" s="1045">
        <f t="shared" si="2"/>
        <v>0</v>
      </c>
      <c r="AC13" s="1045">
        <f t="shared" si="2"/>
        <v>0</v>
      </c>
      <c r="AD13" s="1045">
        <f t="shared" si="2"/>
        <v>0</v>
      </c>
      <c r="AE13" s="1045">
        <f t="shared" si="2"/>
        <v>0</v>
      </c>
      <c r="AF13" s="1045">
        <f t="shared" si="2"/>
        <v>0</v>
      </c>
      <c r="AG13" s="1045">
        <f t="shared" si="2"/>
        <v>0</v>
      </c>
      <c r="AH13" s="1045">
        <f t="shared" si="2"/>
        <v>0</v>
      </c>
      <c r="AI13" s="1046">
        <f t="shared" si="2"/>
        <v>0</v>
      </c>
      <c r="AJ13" s="1047">
        <f t="shared" ref="AJ13:AJ18" si="3">SUM(E13:AI13)</f>
        <v>0</v>
      </c>
      <c r="AK13" s="120"/>
      <c r="AL13" s="121" t="s">
        <v>413</v>
      </c>
      <c r="AM13" s="121"/>
      <c r="AN13" s="122"/>
      <c r="AS13" s="124"/>
    </row>
    <row r="14" spans="2:46" s="129" customFormat="1" x14ac:dyDescent="0.2">
      <c r="B14" s="117"/>
      <c r="C14" s="118" t="str">
        <f>Januar!C14</f>
        <v>inkl. Basiszeit / Feiertage</v>
      </c>
      <c r="D14" s="125"/>
      <c r="E14" s="126">
        <f>ROUND(SUM(E13,E15,E21,E22,E24:E38),8)</f>
        <v>0.35</v>
      </c>
      <c r="F14" s="127">
        <f>ROUND(SUM(F13,F15,F21,F22,F24:F38),8)</f>
        <v>0</v>
      </c>
      <c r="G14" s="127">
        <f t="shared" ref="G14:AI14" si="4">ROUND(SUM(G13,G15,G21,G22,G24:G38),8)</f>
        <v>0</v>
      </c>
      <c r="H14" s="127">
        <f t="shared" si="4"/>
        <v>0</v>
      </c>
      <c r="I14" s="127">
        <f t="shared" si="4"/>
        <v>0</v>
      </c>
      <c r="J14" s="127">
        <f t="shared" si="4"/>
        <v>0</v>
      </c>
      <c r="K14" s="127">
        <f t="shared" si="4"/>
        <v>0</v>
      </c>
      <c r="L14" s="127">
        <f t="shared" si="4"/>
        <v>0</v>
      </c>
      <c r="M14" s="127">
        <f t="shared" si="4"/>
        <v>0</v>
      </c>
      <c r="N14" s="127">
        <f t="shared" si="4"/>
        <v>0</v>
      </c>
      <c r="O14" s="127">
        <f t="shared" si="4"/>
        <v>0</v>
      </c>
      <c r="P14" s="127">
        <f t="shared" si="4"/>
        <v>0</v>
      </c>
      <c r="Q14" s="127">
        <f t="shared" si="4"/>
        <v>8.3333329999999997E-2</v>
      </c>
      <c r="R14" s="127">
        <f t="shared" si="4"/>
        <v>0.35</v>
      </c>
      <c r="S14" s="127">
        <f t="shared" si="4"/>
        <v>0</v>
      </c>
      <c r="T14" s="127">
        <f t="shared" si="4"/>
        <v>0</v>
      </c>
      <c r="U14" s="127">
        <f t="shared" si="4"/>
        <v>0</v>
      </c>
      <c r="V14" s="127">
        <f t="shared" si="4"/>
        <v>0</v>
      </c>
      <c r="W14" s="127">
        <f t="shared" si="4"/>
        <v>0</v>
      </c>
      <c r="X14" s="127">
        <f t="shared" si="4"/>
        <v>0</v>
      </c>
      <c r="Y14" s="127">
        <f t="shared" si="4"/>
        <v>0</v>
      </c>
      <c r="Z14" s="127">
        <f t="shared" si="4"/>
        <v>0</v>
      </c>
      <c r="AA14" s="127">
        <f t="shared" si="4"/>
        <v>0</v>
      </c>
      <c r="AB14" s="127">
        <f t="shared" si="4"/>
        <v>0</v>
      </c>
      <c r="AC14" s="127">
        <f t="shared" si="4"/>
        <v>0.35</v>
      </c>
      <c r="AD14" s="127">
        <f t="shared" si="4"/>
        <v>0</v>
      </c>
      <c r="AE14" s="127">
        <f t="shared" si="4"/>
        <v>0</v>
      </c>
      <c r="AF14" s="127">
        <f t="shared" si="4"/>
        <v>0</v>
      </c>
      <c r="AG14" s="127">
        <f t="shared" si="4"/>
        <v>0</v>
      </c>
      <c r="AH14" s="127">
        <f t="shared" si="4"/>
        <v>0</v>
      </c>
      <c r="AI14" s="127">
        <f t="shared" si="4"/>
        <v>0</v>
      </c>
      <c r="AJ14" s="128">
        <f t="shared" si="3"/>
        <v>1.1333333299999999</v>
      </c>
      <c r="AK14" s="1048">
        <f>AJ14-AJ16-IF(Eingabeblatt!D7="NEIN",AJ85,AJ85/1.25)</f>
        <v>-5.0833333399999985</v>
      </c>
      <c r="AL14" s="117" t="s">
        <v>415</v>
      </c>
      <c r="AM14" s="121"/>
      <c r="AN14" s="122"/>
      <c r="AT14" s="123"/>
    </row>
    <row r="15" spans="2:46" s="129" customFormat="1" x14ac:dyDescent="0.2">
      <c r="B15" s="117">
        <f>ctFeierFreitage!K28</f>
        <v>3.3166666666666669</v>
      </c>
      <c r="C15" s="118" t="str">
        <f>Januar!C15</f>
        <v>Feiertagsanspruch</v>
      </c>
      <c r="D15" s="125"/>
      <c r="E15" s="126">
        <f t="shared" ref="E15:AI15" si="5">IF(ISERROR(VLOOKUP(DATE($D$2,MONTH($C$2),E$4),Feiertagsanspruch,9,FALSE)),0,VLOOKUP(DATE($D$2,MONTH($C$2),E$4),Feiertagsanspruch,9,FALSE))</f>
        <v>0.35000000000000003</v>
      </c>
      <c r="F15" s="127">
        <f t="shared" si="5"/>
        <v>0</v>
      </c>
      <c r="G15" s="127">
        <f t="shared" si="5"/>
        <v>0</v>
      </c>
      <c r="H15" s="127">
        <f t="shared" si="5"/>
        <v>0</v>
      </c>
      <c r="I15" s="127">
        <f t="shared" si="5"/>
        <v>0</v>
      </c>
      <c r="J15" s="127">
        <f t="shared" si="5"/>
        <v>0</v>
      </c>
      <c r="K15" s="127">
        <f t="shared" si="5"/>
        <v>0</v>
      </c>
      <c r="L15" s="127">
        <f t="shared" si="5"/>
        <v>0</v>
      </c>
      <c r="M15" s="127">
        <f t="shared" si="5"/>
        <v>0</v>
      </c>
      <c r="N15" s="127">
        <f t="shared" si="5"/>
        <v>0</v>
      </c>
      <c r="O15" s="127">
        <f t="shared" si="5"/>
        <v>0</v>
      </c>
      <c r="P15" s="127">
        <f t="shared" si="5"/>
        <v>0</v>
      </c>
      <c r="Q15" s="127">
        <f t="shared" si="5"/>
        <v>8.3333333333333329E-2</v>
      </c>
      <c r="R15" s="127">
        <f t="shared" si="5"/>
        <v>0.35000000000000003</v>
      </c>
      <c r="S15" s="127">
        <f t="shared" si="5"/>
        <v>0</v>
      </c>
      <c r="T15" s="127">
        <f t="shared" si="5"/>
        <v>0</v>
      </c>
      <c r="U15" s="127">
        <f t="shared" si="5"/>
        <v>0</v>
      </c>
      <c r="V15" s="127">
        <f t="shared" si="5"/>
        <v>0</v>
      </c>
      <c r="W15" s="127">
        <f t="shared" si="5"/>
        <v>0</v>
      </c>
      <c r="X15" s="127">
        <f t="shared" si="5"/>
        <v>0</v>
      </c>
      <c r="Y15" s="127">
        <f t="shared" si="5"/>
        <v>0</v>
      </c>
      <c r="Z15" s="127">
        <f t="shared" si="5"/>
        <v>0</v>
      </c>
      <c r="AA15" s="127">
        <f t="shared" si="5"/>
        <v>0</v>
      </c>
      <c r="AB15" s="127">
        <f t="shared" si="5"/>
        <v>0</v>
      </c>
      <c r="AC15" s="127">
        <f t="shared" si="5"/>
        <v>0.35000000000000003</v>
      </c>
      <c r="AD15" s="127">
        <f t="shared" si="5"/>
        <v>0</v>
      </c>
      <c r="AE15" s="127">
        <f t="shared" si="5"/>
        <v>0</v>
      </c>
      <c r="AF15" s="127">
        <f t="shared" si="5"/>
        <v>0</v>
      </c>
      <c r="AG15" s="127">
        <f t="shared" si="5"/>
        <v>0</v>
      </c>
      <c r="AH15" s="127">
        <f t="shared" si="5"/>
        <v>0</v>
      </c>
      <c r="AI15" s="127">
        <f t="shared" si="5"/>
        <v>0</v>
      </c>
      <c r="AJ15" s="128">
        <f t="shared" si="3"/>
        <v>1.1333333333333335</v>
      </c>
      <c r="AK15" s="1048"/>
      <c r="AL15" s="117"/>
      <c r="AM15" s="121"/>
      <c r="AN15" s="122"/>
      <c r="AT15" s="123"/>
    </row>
    <row r="16" spans="2:46" s="123" customFormat="1" hidden="1" outlineLevel="1" x14ac:dyDescent="0.2">
      <c r="B16" s="117"/>
      <c r="C16" s="118" t="str">
        <f>Januar!C16</f>
        <v>SOLL-Arbeitszeit</v>
      </c>
      <c r="D16" s="119"/>
      <c r="E16" s="126">
        <f>IF(ROUND(E17-E15,8)&lt;0,0,ROUND(E17-E15,8))</f>
        <v>0</v>
      </c>
      <c r="F16" s="127">
        <f>IF(ROUND(F17-F15,8)&lt;0,0,ROUND(F17-F15,8))</f>
        <v>0</v>
      </c>
      <c r="G16" s="127">
        <f t="shared" ref="G16:AI16" si="6">IF(ROUND(G17-G15,8)&lt;0,0,ROUND(G17-G15,8))</f>
        <v>0</v>
      </c>
      <c r="H16" s="127">
        <f t="shared" si="6"/>
        <v>0.35</v>
      </c>
      <c r="I16" s="127">
        <f t="shared" si="6"/>
        <v>0.35</v>
      </c>
      <c r="J16" s="127">
        <f t="shared" si="6"/>
        <v>0.35</v>
      </c>
      <c r="K16" s="127">
        <f t="shared" si="6"/>
        <v>0.35</v>
      </c>
      <c r="L16" s="127">
        <f t="shared" si="6"/>
        <v>0.35</v>
      </c>
      <c r="M16" s="127">
        <f t="shared" si="6"/>
        <v>0</v>
      </c>
      <c r="N16" s="127">
        <f t="shared" si="6"/>
        <v>0</v>
      </c>
      <c r="O16" s="127">
        <f t="shared" si="6"/>
        <v>0.35</v>
      </c>
      <c r="P16" s="127">
        <f t="shared" si="6"/>
        <v>0.35</v>
      </c>
      <c r="Q16" s="127">
        <f t="shared" si="6"/>
        <v>0.26666666999999999</v>
      </c>
      <c r="R16" s="127">
        <f t="shared" si="6"/>
        <v>0</v>
      </c>
      <c r="S16" s="127">
        <f t="shared" si="6"/>
        <v>0.35</v>
      </c>
      <c r="T16" s="127">
        <f t="shared" si="6"/>
        <v>0</v>
      </c>
      <c r="U16" s="127">
        <f t="shared" si="6"/>
        <v>0</v>
      </c>
      <c r="V16" s="127">
        <f t="shared" si="6"/>
        <v>0.35</v>
      </c>
      <c r="W16" s="127">
        <f t="shared" si="6"/>
        <v>0.35</v>
      </c>
      <c r="X16" s="127">
        <f t="shared" si="6"/>
        <v>0.35</v>
      </c>
      <c r="Y16" s="127">
        <f t="shared" si="6"/>
        <v>0.35</v>
      </c>
      <c r="Z16" s="127">
        <f t="shared" si="6"/>
        <v>0.35</v>
      </c>
      <c r="AA16" s="127">
        <f t="shared" si="6"/>
        <v>0</v>
      </c>
      <c r="AB16" s="127">
        <f t="shared" si="6"/>
        <v>0</v>
      </c>
      <c r="AC16" s="127">
        <f t="shared" si="6"/>
        <v>0</v>
      </c>
      <c r="AD16" s="127">
        <f t="shared" si="6"/>
        <v>0.35</v>
      </c>
      <c r="AE16" s="127">
        <f t="shared" si="6"/>
        <v>0.35</v>
      </c>
      <c r="AF16" s="127">
        <f t="shared" si="6"/>
        <v>0.35</v>
      </c>
      <c r="AG16" s="127">
        <f t="shared" si="6"/>
        <v>0.35</v>
      </c>
      <c r="AH16" s="127">
        <f t="shared" si="6"/>
        <v>0</v>
      </c>
      <c r="AI16" s="127">
        <f t="shared" si="6"/>
        <v>0</v>
      </c>
      <c r="AJ16" s="128">
        <f t="shared" si="3"/>
        <v>6.2166666699999986</v>
      </c>
      <c r="AK16" s="130"/>
      <c r="AL16" s="121" t="s">
        <v>416</v>
      </c>
      <c r="AM16" s="121"/>
      <c r="AN16" s="122"/>
      <c r="AT16" s="129"/>
    </row>
    <row r="17" spans="1:46" s="123" customFormat="1" collapsed="1" x14ac:dyDescent="0.2">
      <c r="B17" s="117"/>
      <c r="C17" s="118" t="str">
        <f>Januar!C17</f>
        <v>Regelarbeitszeit</v>
      </c>
      <c r="D17" s="119"/>
      <c r="E17" s="126">
        <f>IF(ISERROR(IF(E4&lt;&gt;0,VLOOKUP(DATE($D$2,MONTH($C$2),E$4),Raz,WEEKDAY(DATE($D$2,MONTH($C$2),E$4))+2),0)),0,IF(E4&lt;&gt;0,VLOOKUP(DATE($D$2,MONTH($C$2),E$4),Raz,WEEKDAY(DATE($D$2,MONTH($C$2),E$4))+2),0))</f>
        <v>0.35000000000000003</v>
      </c>
      <c r="F17" s="127">
        <f t="shared" ref="F17:AI17" si="7">IF(ISERROR(IF(F4&lt;&gt;0,VLOOKUP(DATE($D$2,MONTH($C$2),F$4),Raz,WEEKDAY(DATE($D$2,MONTH($C$2),F$4))+2),0)),0,IF(F4&lt;&gt;0,VLOOKUP(DATE($D$2,MONTH($C$2),F$4),Raz,WEEKDAY(DATE($D$2,MONTH($C$2),F$4))+2),0))</f>
        <v>0</v>
      </c>
      <c r="G17" s="127">
        <f t="shared" si="7"/>
        <v>0</v>
      </c>
      <c r="H17" s="127">
        <f t="shared" si="7"/>
        <v>0.35000000000000003</v>
      </c>
      <c r="I17" s="127">
        <f t="shared" si="7"/>
        <v>0.35000000000000003</v>
      </c>
      <c r="J17" s="127">
        <f t="shared" si="7"/>
        <v>0.35000000000000003</v>
      </c>
      <c r="K17" s="127">
        <f t="shared" si="7"/>
        <v>0.35</v>
      </c>
      <c r="L17" s="127">
        <f t="shared" si="7"/>
        <v>0.35000000000000003</v>
      </c>
      <c r="M17" s="127">
        <f t="shared" si="7"/>
        <v>0</v>
      </c>
      <c r="N17" s="127">
        <f t="shared" si="7"/>
        <v>0</v>
      </c>
      <c r="O17" s="127">
        <f t="shared" si="7"/>
        <v>0.35000000000000003</v>
      </c>
      <c r="P17" s="127">
        <f t="shared" si="7"/>
        <v>0.35000000000000003</v>
      </c>
      <c r="Q17" s="127">
        <f t="shared" si="7"/>
        <v>0.35000000000000003</v>
      </c>
      <c r="R17" s="127">
        <f t="shared" si="7"/>
        <v>0.35</v>
      </c>
      <c r="S17" s="127">
        <f t="shared" si="7"/>
        <v>0.35000000000000003</v>
      </c>
      <c r="T17" s="127">
        <f t="shared" si="7"/>
        <v>0</v>
      </c>
      <c r="U17" s="127">
        <f t="shared" si="7"/>
        <v>0</v>
      </c>
      <c r="V17" s="127">
        <f t="shared" si="7"/>
        <v>0.35000000000000003</v>
      </c>
      <c r="W17" s="127">
        <f t="shared" si="7"/>
        <v>0.35000000000000003</v>
      </c>
      <c r="X17" s="127">
        <f t="shared" si="7"/>
        <v>0.35000000000000003</v>
      </c>
      <c r="Y17" s="127">
        <f t="shared" si="7"/>
        <v>0.35</v>
      </c>
      <c r="Z17" s="127">
        <f t="shared" si="7"/>
        <v>0.35000000000000003</v>
      </c>
      <c r="AA17" s="127">
        <f t="shared" si="7"/>
        <v>0</v>
      </c>
      <c r="AB17" s="127">
        <f t="shared" si="7"/>
        <v>0</v>
      </c>
      <c r="AC17" s="127">
        <f t="shared" si="7"/>
        <v>0.35000000000000003</v>
      </c>
      <c r="AD17" s="127">
        <f t="shared" si="7"/>
        <v>0.35000000000000003</v>
      </c>
      <c r="AE17" s="127">
        <f t="shared" si="7"/>
        <v>0.35000000000000003</v>
      </c>
      <c r="AF17" s="127">
        <f t="shared" si="7"/>
        <v>0.35</v>
      </c>
      <c r="AG17" s="127">
        <f t="shared" si="7"/>
        <v>0.35000000000000003</v>
      </c>
      <c r="AH17" s="127">
        <f t="shared" si="7"/>
        <v>0</v>
      </c>
      <c r="AI17" s="127">
        <f t="shared" si="7"/>
        <v>0</v>
      </c>
      <c r="AJ17" s="128">
        <f t="shared" si="3"/>
        <v>7.349999999999997</v>
      </c>
      <c r="AK17" s="131"/>
      <c r="AL17" s="121"/>
      <c r="AM17" s="121"/>
      <c r="AN17" s="122"/>
    </row>
    <row r="18" spans="1:46" s="123" customFormat="1" x14ac:dyDescent="0.2">
      <c r="B18" s="117"/>
      <c r="C18" s="132" t="str">
        <f>Januar!C18</f>
        <v>Mehr-/Minderleistung</v>
      </c>
      <c r="D18" s="133"/>
      <c r="E18" s="134">
        <f>ROUND(E14-E17,8)</f>
        <v>0</v>
      </c>
      <c r="F18" s="135">
        <f>ROUND(F14-F17,8)</f>
        <v>0</v>
      </c>
      <c r="G18" s="135">
        <f t="shared" ref="G18:AI18" si="8">ROUND(G14-G17,8)</f>
        <v>0</v>
      </c>
      <c r="H18" s="135">
        <f t="shared" si="8"/>
        <v>-0.35</v>
      </c>
      <c r="I18" s="135">
        <f t="shared" si="8"/>
        <v>-0.35</v>
      </c>
      <c r="J18" s="135">
        <f t="shared" si="8"/>
        <v>-0.35</v>
      </c>
      <c r="K18" s="135">
        <f t="shared" si="8"/>
        <v>-0.35</v>
      </c>
      <c r="L18" s="135">
        <f t="shared" si="8"/>
        <v>-0.35</v>
      </c>
      <c r="M18" s="135">
        <f t="shared" si="8"/>
        <v>0</v>
      </c>
      <c r="N18" s="135">
        <f t="shared" si="8"/>
        <v>0</v>
      </c>
      <c r="O18" s="135">
        <f t="shared" si="8"/>
        <v>-0.35</v>
      </c>
      <c r="P18" s="135">
        <f t="shared" si="8"/>
        <v>-0.35</v>
      </c>
      <c r="Q18" s="135">
        <f t="shared" si="8"/>
        <v>-0.26666666999999999</v>
      </c>
      <c r="R18" s="135">
        <f t="shared" si="8"/>
        <v>0</v>
      </c>
      <c r="S18" s="135">
        <f t="shared" si="8"/>
        <v>-0.35</v>
      </c>
      <c r="T18" s="135">
        <f t="shared" si="8"/>
        <v>0</v>
      </c>
      <c r="U18" s="135">
        <f t="shared" si="8"/>
        <v>0</v>
      </c>
      <c r="V18" s="135">
        <f t="shared" si="8"/>
        <v>-0.35</v>
      </c>
      <c r="W18" s="135">
        <f t="shared" si="8"/>
        <v>-0.35</v>
      </c>
      <c r="X18" s="135">
        <f t="shared" si="8"/>
        <v>-0.35</v>
      </c>
      <c r="Y18" s="135">
        <f t="shared" si="8"/>
        <v>-0.35</v>
      </c>
      <c r="Z18" s="135">
        <f t="shared" si="8"/>
        <v>-0.35</v>
      </c>
      <c r="AA18" s="135">
        <f t="shared" si="8"/>
        <v>0</v>
      </c>
      <c r="AB18" s="135">
        <f t="shared" si="8"/>
        <v>0</v>
      </c>
      <c r="AC18" s="135">
        <f t="shared" si="8"/>
        <v>0</v>
      </c>
      <c r="AD18" s="135">
        <f t="shared" si="8"/>
        <v>-0.35</v>
      </c>
      <c r="AE18" s="135">
        <f t="shared" si="8"/>
        <v>-0.35</v>
      </c>
      <c r="AF18" s="135">
        <f t="shared" si="8"/>
        <v>-0.35</v>
      </c>
      <c r="AG18" s="135">
        <f t="shared" si="8"/>
        <v>-0.35</v>
      </c>
      <c r="AH18" s="135">
        <f t="shared" si="8"/>
        <v>0</v>
      </c>
      <c r="AI18" s="135">
        <f t="shared" si="8"/>
        <v>0</v>
      </c>
      <c r="AJ18" s="136">
        <f t="shared" si="3"/>
        <v>-6.2166666699999986</v>
      </c>
      <c r="AK18" s="137" t="s">
        <v>418</v>
      </c>
      <c r="AL18" s="121" t="s">
        <v>419</v>
      </c>
      <c r="AM18" s="121"/>
      <c r="AN18" s="122"/>
      <c r="AO18" s="122"/>
    </row>
    <row r="19" spans="1:46" s="138" customFormat="1" ht="24" x14ac:dyDescent="0.2">
      <c r="A19" s="781"/>
      <c r="B19" s="139" t="s">
        <v>420</v>
      </c>
      <c r="C19" s="1049" t="str">
        <f>Januar!C19</f>
        <v>Arbeitszeit-Saldo</v>
      </c>
      <c r="D19" s="903">
        <f ca="1">April!AJ19</f>
        <v>0</v>
      </c>
      <c r="E19" s="1050">
        <f ca="1">IF(E4&lt;&gt;"",IF(DATE($D$2,MONTH($C$2),E$4)&lt;=Eingabeblatt!$I$8,IF(OR(AND(E$86="JA",E14&gt;E16),AND(E86="JA",Eingabeblatt!$I$10="NEIN")),D19,D19+E18),IF(D19=0,0,IF(OR(COUNT(E7:E12,E22:E38)&gt;0,AND(COUNT(E7:E12,E22:E38)=0,E16=0)),IF(OR(AND(E$86="JA",E14&gt;E16),AND(E86="JA",Eingabeblatt!$I$10="NEIN")),D19,D19+E18),0))),D19)</f>
        <v>0</v>
      </c>
      <c r="F19" s="1051">
        <f ca="1">IF(F4&lt;&gt;"",IF(DATE($D$2,MONTH($C$2),F$4)&lt;=Eingabeblatt!$I$8,IF(OR(AND(F$86="JA",F14&gt;F16),AND(F86="JA",Eingabeblatt!$I$10="NEIN")),E19,E19+F18),IF(E19=0,0,IF(OR(COUNT(F7:F12,F22:F38)&gt;0,AND(COUNT(F7:F12,F22:F38)=0,F16=0)),IF(OR(AND(F$86="JA",F14&gt;F16),AND(F86="JA",Eingabeblatt!$I$10="NEIN")),E19,E19+F18),0))),E19)</f>
        <v>0</v>
      </c>
      <c r="G19" s="1051">
        <f ca="1">IF(G4&lt;&gt;"",IF(DATE($D$2,MONTH($C$2),G$4)&lt;=Eingabeblatt!$I$8,IF(OR(AND(G$86="JA",G14&gt;G16),AND(G86="JA",Eingabeblatt!$I$10="NEIN")),F19,F19+G18),IF(F19=0,0,IF(OR(COUNT(G7:G12,G22:G38)&gt;0,AND(COUNT(G7:G12,G22:G38)=0,G16=0)),IF(OR(AND(G$86="JA",G14&gt;G16),AND(G86="JA",Eingabeblatt!$I$10="NEIN")),F19,F19+G18),0))),F19)</f>
        <v>0</v>
      </c>
      <c r="H19" s="1051">
        <f ca="1">IF(H4&lt;&gt;"",IF(DATE($D$2,MONTH($C$2),H$4)&lt;=Eingabeblatt!$I$8,IF(OR(AND(H$86="JA",H14&gt;H16),AND(H86="JA",Eingabeblatt!$I$10="NEIN")),G19,G19+H18),IF(G19=0,0,IF(OR(COUNT(H7:H12,H22:H38)&gt;0,AND(COUNT(H7:H12,H22:H38)=0,H16=0)),IF(OR(AND(H$86="JA",H14&gt;H16),AND(H86="JA",Eingabeblatt!$I$10="NEIN")),G19,G19+H18),0))),G19)</f>
        <v>0</v>
      </c>
      <c r="I19" s="1051">
        <f ca="1">IF(I4&lt;&gt;"",IF(DATE($D$2,MONTH($C$2),I$4)&lt;=Eingabeblatt!$I$8,IF(OR(AND(I$86="JA",I14&gt;I16),AND(I86="JA",Eingabeblatt!$I$10="NEIN")),H19,H19+I18),IF(H19=0,0,IF(OR(COUNT(I7:I12,I22:I38)&gt;0,AND(COUNT(I7:I12,I22:I38)=0,I16=0)),IF(OR(AND(I$86="JA",I14&gt;I16),AND(I86="JA",Eingabeblatt!$I$10="NEIN")),H19,H19+I18),0))),H19)</f>
        <v>0</v>
      </c>
      <c r="J19" s="1051">
        <f ca="1">IF(J4&lt;&gt;"",IF(DATE($D$2,MONTH($C$2),J$4)&lt;=Eingabeblatt!$I$8,IF(OR(AND(J$86="JA",J14&gt;J16),AND(J86="JA",Eingabeblatt!$I$10="NEIN")),I19,I19+J18),IF(I19=0,0,IF(OR(COUNT(J7:J12,J22:J38)&gt;0,AND(COUNT(J7:J12,J22:J38)=0,J16=0)),IF(OR(AND(J$86="JA",J14&gt;J16),AND(J86="JA",Eingabeblatt!$I$10="NEIN")),I19,I19+J18),0))),I19)</f>
        <v>0</v>
      </c>
      <c r="K19" s="1051">
        <f ca="1">IF(K4&lt;&gt;"",IF(DATE($D$2,MONTH($C$2),K$4)&lt;=Eingabeblatt!$I$8,IF(OR(AND(K$86="JA",K14&gt;K16),AND(K86="JA",Eingabeblatt!$I$10="NEIN")),J19,J19+K18),IF(J19=0,0,IF(OR(COUNT(K7:K12,K22:K38)&gt;0,AND(COUNT(K7:K12,K22:K38)=0,K16=0)),IF(OR(AND(K$86="JA",K14&gt;K16),AND(K86="JA",Eingabeblatt!$I$10="NEIN")),J19,J19+K18),0))),J19)</f>
        <v>0</v>
      </c>
      <c r="L19" s="1051">
        <f ca="1">IF(L4&lt;&gt;"",IF(DATE($D$2,MONTH($C$2),L$4)&lt;=Eingabeblatt!$I$8,IF(OR(AND(L$86="JA",L14&gt;L16),AND(L86="JA",Eingabeblatt!$I$10="NEIN")),K19,K19+L18),IF(K19=0,0,IF(OR(COUNT(L7:L12,L22:L38)&gt;0,AND(COUNT(L7:L12,L22:L38)=0,L16=0)),IF(OR(AND(L$86="JA",L14&gt;L16),AND(L86="JA",Eingabeblatt!$I$10="NEIN")),K19,K19+L18),0))),K19)</f>
        <v>0</v>
      </c>
      <c r="M19" s="1051">
        <f ca="1">IF(M4&lt;&gt;"",IF(DATE($D$2,MONTH($C$2),M$4)&lt;=Eingabeblatt!$I$8,IF(OR(AND(M$86="JA",M14&gt;M16),AND(M86="JA",Eingabeblatt!$I$10="NEIN")),L19,L19+M18),IF(L19=0,0,IF(OR(COUNT(M7:M12,M22:M38)&gt;0,AND(COUNT(M7:M12,M22:M38)=0,M16=0)),IF(OR(AND(M$86="JA",M14&gt;M16),AND(M86="JA",Eingabeblatt!$I$10="NEIN")),L19,L19+M18),0))),L19)</f>
        <v>0</v>
      </c>
      <c r="N19" s="1051">
        <f ca="1">IF(N4&lt;&gt;"",IF(DATE($D$2,MONTH($C$2),N$4)&lt;=Eingabeblatt!$I$8,IF(OR(AND(N$86="JA",N14&gt;N16),AND(N86="JA",Eingabeblatt!$I$10="NEIN")),M19,M19+N18),IF(M19=0,0,IF(OR(COUNT(N7:N12,N22:N38)&gt;0,AND(COUNT(N7:N12,N22:N38)=0,N16=0)),IF(OR(AND(N$86="JA",N14&gt;N16),AND(N86="JA",Eingabeblatt!$I$10="NEIN")),M19,M19+N18),0))),M19)</f>
        <v>0</v>
      </c>
      <c r="O19" s="1051">
        <f ca="1">IF(O4&lt;&gt;"",IF(DATE($D$2,MONTH($C$2),O$4)&lt;=Eingabeblatt!$I$8,IF(OR(AND(O$86="JA",O14&gt;O16),AND(O86="JA",Eingabeblatt!$I$10="NEIN")),N19,N19+O18),IF(N19=0,0,IF(OR(COUNT(O7:O12,O22:O38)&gt;0,AND(COUNT(O7:O12,O22:O38)=0,O16=0)),IF(OR(AND(O$86="JA",O14&gt;O16),AND(O86="JA",Eingabeblatt!$I$10="NEIN")),N19,N19+O18),0))),N19)</f>
        <v>0</v>
      </c>
      <c r="P19" s="1051">
        <f ca="1">IF(P4&lt;&gt;"",IF(DATE($D$2,MONTH($C$2),P$4)&lt;=Eingabeblatt!$I$8,IF(OR(AND(P$86="JA",P14&gt;P16),AND(P86="JA",Eingabeblatt!$I$10="NEIN")),O19,O19+P18),IF(O19=0,0,IF(OR(COUNT(P7:P12,P22:P38)&gt;0,AND(COUNT(P7:P12,P22:P38)=0,P16=0)),IF(OR(AND(P$86="JA",P14&gt;P16),AND(P86="JA",Eingabeblatt!$I$10="NEIN")),O19,O19+P18),0))),O19)</f>
        <v>0</v>
      </c>
      <c r="Q19" s="1051">
        <f ca="1">IF(Q4&lt;&gt;"",IF(DATE($D$2,MONTH($C$2),Q$4)&lt;=Eingabeblatt!$I$8,IF(OR(AND(Q$86="JA",Q14&gt;Q16),AND(Q86="JA",Eingabeblatt!$I$10="NEIN")),P19,P19+Q18),IF(P19=0,0,IF(OR(COUNT(Q7:Q12,Q22:Q38)&gt;0,AND(COUNT(Q7:Q12,Q22:Q38)=0,Q16=0)),IF(OR(AND(Q$86="JA",Q14&gt;Q16),AND(Q86="JA",Eingabeblatt!$I$10="NEIN")),P19,P19+Q18),0))),P19)</f>
        <v>0</v>
      </c>
      <c r="R19" s="1051">
        <f ca="1">IF(R4&lt;&gt;"",IF(DATE($D$2,MONTH($C$2),R$4)&lt;=Eingabeblatt!$I$8,IF(OR(AND(R$86="JA",R14&gt;R16),AND(R86="JA",Eingabeblatt!$I$10="NEIN")),Q19,Q19+R18),IF(Q19=0,0,IF(OR(COUNT(R7:R12,R22:R38)&gt;0,AND(COUNT(R7:R12,R22:R38)=0,R16=0)),IF(OR(AND(R$86="JA",R14&gt;R16),AND(R86="JA",Eingabeblatt!$I$10="NEIN")),Q19,Q19+R18),0))),Q19)</f>
        <v>0</v>
      </c>
      <c r="S19" s="1051">
        <f ca="1">IF(S4&lt;&gt;"",IF(DATE($D$2,MONTH($C$2),S$4)&lt;=Eingabeblatt!$I$8,IF(OR(AND(S$86="JA",S14&gt;S16),AND(S86="JA",Eingabeblatt!$I$10="NEIN")),R19,R19+S18),IF(R19=0,0,IF(OR(COUNT(S7:S12,S22:S38)&gt;0,AND(COUNT(S7:S12,S22:S38)=0,S16=0)),IF(OR(AND(S$86="JA",S14&gt;S16),AND(S86="JA",Eingabeblatt!$I$10="NEIN")),R19,R19+S18),0))),R19)</f>
        <v>0</v>
      </c>
      <c r="T19" s="1051">
        <f ca="1">IF(T4&lt;&gt;"",IF(DATE($D$2,MONTH($C$2),T$4)&lt;=Eingabeblatt!$I$8,IF(OR(AND(T$86="JA",T14&gt;T16),AND(T86="JA",Eingabeblatt!$I$10="NEIN")),S19,S19+T18),IF(S19=0,0,IF(OR(COUNT(T7:T12,T22:T38)&gt;0,AND(COUNT(T7:T12,T22:T38)=0,T16=0)),IF(OR(AND(T$86="JA",T14&gt;T16),AND(T86="JA",Eingabeblatt!$I$10="NEIN")),S19,S19+T18),0))),S19)</f>
        <v>0</v>
      </c>
      <c r="U19" s="1051">
        <f ca="1">IF(U4&lt;&gt;"",IF(DATE($D$2,MONTH($C$2),U$4)&lt;=Eingabeblatt!$I$8,IF(OR(AND(U$86="JA",U14&gt;U16),AND(U86="JA",Eingabeblatt!$I$10="NEIN")),T19,T19+U18),IF(T19=0,0,IF(OR(COUNT(U7:U12,U22:U38)&gt;0,AND(COUNT(U7:U12,U22:U38)=0,U16=0)),IF(OR(AND(U$86="JA",U14&gt;U16),AND(U86="JA",Eingabeblatt!$I$10="NEIN")),T19,T19+U18),0))),T19)</f>
        <v>0</v>
      </c>
      <c r="V19" s="1051">
        <f ca="1">IF(V4&lt;&gt;"",IF(DATE($D$2,MONTH($C$2),V$4)&lt;=Eingabeblatt!$I$8,IF(OR(AND(V$86="JA",V14&gt;V16),AND(V86="JA",Eingabeblatt!$I$10="NEIN")),U19,U19+V18),IF(U19=0,0,IF(OR(COUNT(V7:V12,V22:V38)&gt;0,AND(COUNT(V7:V12,V22:V38)=0,V16=0)),IF(OR(AND(V$86="JA",V14&gt;V16),AND(V86="JA",Eingabeblatt!$I$10="NEIN")),U19,U19+V18),0))),U19)</f>
        <v>0</v>
      </c>
      <c r="W19" s="1051">
        <f ca="1">IF(W4&lt;&gt;"",IF(DATE($D$2,MONTH($C$2),W$4)&lt;=Eingabeblatt!$I$8,IF(OR(AND(W$86="JA",W14&gt;W16),AND(W86="JA",Eingabeblatt!$I$10="NEIN")),V19,V19+W18),IF(V19=0,0,IF(OR(COUNT(W7:W12,W22:W38)&gt;0,AND(COUNT(W7:W12,W22:W38)=0,W16=0)),IF(OR(AND(W$86="JA",W14&gt;W16),AND(W86="JA",Eingabeblatt!$I$10="NEIN")),V19,V19+W18),0))),V19)</f>
        <v>0</v>
      </c>
      <c r="X19" s="1051">
        <f ca="1">IF(X4&lt;&gt;"",IF(DATE($D$2,MONTH($C$2),X$4)&lt;=Eingabeblatt!$I$8,IF(OR(AND(X$86="JA",X14&gt;X16),AND(X86="JA",Eingabeblatt!$I$10="NEIN")),W19,W19+X18),IF(W19=0,0,IF(OR(COUNT(X7:X12,X22:X38)&gt;0,AND(COUNT(X7:X12,X22:X38)=0,X16=0)),IF(OR(AND(X$86="JA",X14&gt;X16),AND(X86="JA",Eingabeblatt!$I$10="NEIN")),W19,W19+X18),0))),W19)</f>
        <v>0</v>
      </c>
      <c r="Y19" s="1051">
        <f ca="1">IF(Y4&lt;&gt;"",IF(DATE($D$2,MONTH($C$2),Y$4)&lt;=Eingabeblatt!$I$8,IF(OR(AND(Y$86="JA",Y14&gt;Y16),AND(Y86="JA",Eingabeblatt!$I$10="NEIN")),X19,X19+Y18),IF(X19=0,0,IF(OR(COUNT(Y7:Y12,Y22:Y38)&gt;0,AND(COUNT(Y7:Y12,Y22:Y38)=0,Y16=0)),IF(OR(AND(Y$86="JA",Y14&gt;Y16),AND(Y86="JA",Eingabeblatt!$I$10="NEIN")),X19,X19+Y18),0))),X19)</f>
        <v>0</v>
      </c>
      <c r="Z19" s="1051">
        <f ca="1">IF(Z4&lt;&gt;"",IF(DATE($D$2,MONTH($C$2),Z$4)&lt;=Eingabeblatt!$I$8,IF(OR(AND(Z$86="JA",Z14&gt;Z16),AND(Z86="JA",Eingabeblatt!$I$10="NEIN")),Y19,Y19+Z18),IF(Y19=0,0,IF(OR(COUNT(Z7:Z12,Z22:Z38)&gt;0,AND(COUNT(Z7:Z12,Z22:Z38)=0,Z16=0)),IF(OR(AND(Z$86="JA",Z14&gt;Z16),AND(Z86="JA",Eingabeblatt!$I$10="NEIN")),Y19,Y19+Z18),0))),Y19)</f>
        <v>0</v>
      </c>
      <c r="AA19" s="1051">
        <f ca="1">IF(AA4&lt;&gt;"",IF(DATE($D$2,MONTH($C$2),AA$4)&lt;=Eingabeblatt!$I$8,IF(OR(AND(AA$86="JA",AA14&gt;AA16),AND(AA86="JA",Eingabeblatt!$I$10="NEIN")),Z19,Z19+AA18),IF(Z19=0,0,IF(OR(COUNT(AA7:AA12,AA22:AA38)&gt;0,AND(COUNT(AA7:AA12,AA22:AA38)=0,AA16=0)),IF(OR(AND(AA$86="JA",AA14&gt;AA16),AND(AA86="JA",Eingabeblatt!$I$10="NEIN")),Z19,Z19+AA18),0))),Z19)</f>
        <v>0</v>
      </c>
      <c r="AB19" s="1051">
        <f ca="1">IF(AB4&lt;&gt;"",IF(DATE($D$2,MONTH($C$2),AB$4)&lt;=Eingabeblatt!$I$8,IF(OR(AND(AB$86="JA",AB14&gt;AB16),AND(AB86="JA",Eingabeblatt!$I$10="NEIN")),AA19,AA19+AB18),IF(AA19=0,0,IF(OR(COUNT(AB7:AB12,AB22:AB38)&gt;0,AND(COUNT(AB7:AB12,AB22:AB38)=0,AB16=0)),IF(OR(AND(AB$86="JA",AB14&gt;AB16),AND(AB86="JA",Eingabeblatt!$I$10="NEIN")),AA19,AA19+AB18),0))),AA19)</f>
        <v>0</v>
      </c>
      <c r="AC19" s="1051">
        <f ca="1">IF(AC4&lt;&gt;"",IF(DATE($D$2,MONTH($C$2),AC$4)&lt;=Eingabeblatt!$I$8,IF(OR(AND(AC$86="JA",AC14&gt;AC16),AND(AC86="JA",Eingabeblatt!$I$10="NEIN")),AB19,AB19+AC18),IF(AB19=0,0,IF(OR(COUNT(AC7:AC12,AC22:AC38)&gt;0,AND(COUNT(AC7:AC12,AC22:AC38)=0,AC16=0)),IF(OR(AND(AC$86="JA",AC14&gt;AC16),AND(AC86="JA",Eingabeblatt!$I$10="NEIN")),AB19,AB19+AC18),0))),AB19)</f>
        <v>0</v>
      </c>
      <c r="AD19" s="1051">
        <f ca="1">IF(AD4&lt;&gt;"",IF(DATE($D$2,MONTH($C$2),AD$4)&lt;=Eingabeblatt!$I$8,IF(OR(AND(AD$86="JA",AD14&gt;AD16),AND(AD86="JA",Eingabeblatt!$I$10="NEIN")),AC19,AC19+AD18),IF(AC19=0,0,IF(OR(COUNT(AD7:AD12,AD22:AD38)&gt;0,AND(COUNT(AD7:AD12,AD22:AD38)=0,AD16=0)),IF(OR(AND(AD$86="JA",AD14&gt;AD16),AND(AD86="JA",Eingabeblatt!$I$10="NEIN")),AC19,AC19+AD18),0))),AC19)</f>
        <v>0</v>
      </c>
      <c r="AE19" s="1051">
        <f ca="1">IF(AE4&lt;&gt;"",IF(DATE($D$2,MONTH($C$2),AE$4)&lt;=Eingabeblatt!$I$8,IF(OR(AND(AE$86="JA",AE14&gt;AE16),AND(AE86="JA",Eingabeblatt!$I$10="NEIN")),AD19,AD19+AE18),IF(AD19=0,0,IF(OR(COUNT(AE7:AE12,AE22:AE38)&gt;0,AND(COUNT(AE7:AE12,AE22:AE38)=0,AE16=0)),IF(OR(AND(AE$86="JA",AE14&gt;AE16),AND(AE86="JA",Eingabeblatt!$I$10="NEIN")),AD19,AD19+AE18),0))),AD19)</f>
        <v>0</v>
      </c>
      <c r="AF19" s="1051">
        <f ca="1">IF(AF4&lt;&gt;"",IF(DATE($D$2,MONTH($C$2),AF$4)&lt;=Eingabeblatt!$I$8,IF(OR(AND(AF$86="JA",AF14&gt;AF16),AND(AF86="JA",Eingabeblatt!$I$10="NEIN")),AE19,AE19+AF18),IF(AE19=0,0,IF(OR(COUNT(AF7:AF12,AF22:AF38)&gt;0,AND(COUNT(AF7:AF12,AF22:AF38)=0,AF16=0)),IF(OR(AND(AF$86="JA",AF14&gt;AF16),AND(AF86="JA",Eingabeblatt!$I$10="NEIN")),AE19,AE19+AF18),0))),AE19)</f>
        <v>0</v>
      </c>
      <c r="AG19" s="1051">
        <f ca="1">IF(AG4&lt;&gt;"",IF(DATE($D$2,MONTH($C$2),AG$4)&lt;=Eingabeblatt!$I$8,IF(OR(AND(AG$86="JA",AG14&gt;AG16),AND(AG86="JA",Eingabeblatt!$I$10="NEIN")),AF19,AF19+AG18),IF(AF19=0,0,IF(OR(COUNT(AG7:AG12,AG22:AG38)&gt;0,AND(COUNT(AG7:AG12,AG22:AG38)=0,AG16=0)),IF(OR(AND(AG$86="JA",AG14&gt;AG16),AND(AG86="JA",Eingabeblatt!$I$10="NEIN")),AF19,AF19+AG18),0))),AF19)</f>
        <v>0</v>
      </c>
      <c r="AH19" s="1051">
        <f ca="1">IF(AH4&lt;&gt;"",IF(DATE($D$2,MONTH($C$2),AH$4)&lt;=Eingabeblatt!$I$8,IF(OR(AND(AH$86="JA",AH14&gt;AH16),AND(AH86="JA",Eingabeblatt!$I$10="NEIN")),AG19,AG19+AH18),IF(AG19=0,0,IF(OR(COUNT(AH7:AH12,AH22:AH38)&gt;0,AND(COUNT(AH7:AH12,AH22:AH38)=0,AH16=0)),IF(OR(AND(AH$86="JA",AH14&gt;AH16),AND(AH86="JA",Eingabeblatt!$I$10="NEIN")),AG19,AG19+AH18),0))),AG19)</f>
        <v>0</v>
      </c>
      <c r="AI19" s="1052">
        <f ca="1">IF(AI4&lt;&gt;"",IF(DATE($D$2,MONTH($C$2),AI$4)&lt;=Eingabeblatt!$I$8,IF(OR(AND(AI$86="JA",AI14&gt;AI16),AND(AI86="JA",Eingabeblatt!$I$10="NEIN")),AH19,AH19+AI18),IF(AH19=0,0,IF(OR(COUNT(AI7:AI12,AI22:AI38)&gt;0,AND(COUNT(AI7:AI12,AI22:AI38)=0,AI16=0)),IF(OR(AND(AI$86="JA",AI14&gt;AI16),AND(AI86="JA",Eingabeblatt!$I$10="NEIN")),AH19,AH19+AI18),0))),AH19)</f>
        <v>0</v>
      </c>
      <c r="AJ19" s="1053">
        <f ca="1">AI19</f>
        <v>0</v>
      </c>
      <c r="AK19" s="904">
        <f ca="1">AI19</f>
        <v>0</v>
      </c>
      <c r="AL19" s="905" t="s">
        <v>422</v>
      </c>
      <c r="AM19" s="905"/>
      <c r="AN19" s="906"/>
      <c r="AO19" s="781"/>
      <c r="AP19" s="781"/>
      <c r="AQ19" s="781"/>
      <c r="AR19" s="781"/>
      <c r="AS19" s="907"/>
      <c r="AT19" s="781"/>
    </row>
    <row r="20" spans="1:46" ht="22.5" hidden="1" customHeight="1" outlineLevel="1" x14ac:dyDescent="0.2">
      <c r="B20" s="143"/>
      <c r="C20" s="953" t="str">
        <f>Januar!C20</f>
        <v>Feiertagssaldo</v>
      </c>
      <c r="D20" s="954">
        <f>April!AJ20</f>
        <v>0</v>
      </c>
      <c r="E20" s="955">
        <f t="shared" ref="E20:AI20" si="9">IF(VLOOKUP(DATE($D$2,MONTH($C$2),E$4),Ferienanspruch,3,TRUE)=100,D20-E21,IF(VLOOKUP(DATE($D$2,MONTH($C$2),E$4),Feiertagsanspruch,6,TRUE)*24&lt;Normtagesarbeitszeit*24,IF((E17-E15)&lt;0,D20-E21+(E15-E17),IF(E17&gt;0,D20-E21,D20-E21+E15)),IF((E17-E15)&lt;0,D20-E21+(E15-E17),IF(E17&gt;0,D20-E21,D20-E21+E15))))</f>
        <v>0</v>
      </c>
      <c r="F20" s="956">
        <f t="shared" si="9"/>
        <v>0</v>
      </c>
      <c r="G20" s="956">
        <f t="shared" si="9"/>
        <v>0</v>
      </c>
      <c r="H20" s="956">
        <f t="shared" si="9"/>
        <v>0</v>
      </c>
      <c r="I20" s="956">
        <f t="shared" si="9"/>
        <v>0</v>
      </c>
      <c r="J20" s="956">
        <f t="shared" si="9"/>
        <v>0</v>
      </c>
      <c r="K20" s="956">
        <f t="shared" si="9"/>
        <v>0</v>
      </c>
      <c r="L20" s="956">
        <f t="shared" si="9"/>
        <v>0</v>
      </c>
      <c r="M20" s="956">
        <f t="shared" si="9"/>
        <v>0</v>
      </c>
      <c r="N20" s="956">
        <f t="shared" si="9"/>
        <v>0</v>
      </c>
      <c r="O20" s="956">
        <f t="shared" si="9"/>
        <v>0</v>
      </c>
      <c r="P20" s="956">
        <f t="shared" si="9"/>
        <v>0</v>
      </c>
      <c r="Q20" s="956">
        <f t="shared" si="9"/>
        <v>0</v>
      </c>
      <c r="R20" s="956">
        <f t="shared" si="9"/>
        <v>0</v>
      </c>
      <c r="S20" s="956">
        <f t="shared" si="9"/>
        <v>0</v>
      </c>
      <c r="T20" s="956">
        <f t="shared" si="9"/>
        <v>0</v>
      </c>
      <c r="U20" s="956">
        <f t="shared" si="9"/>
        <v>0</v>
      </c>
      <c r="V20" s="956">
        <f t="shared" si="9"/>
        <v>0</v>
      </c>
      <c r="W20" s="956">
        <f t="shared" si="9"/>
        <v>0</v>
      </c>
      <c r="X20" s="956">
        <f t="shared" si="9"/>
        <v>0</v>
      </c>
      <c r="Y20" s="956">
        <f t="shared" si="9"/>
        <v>0</v>
      </c>
      <c r="Z20" s="956">
        <f t="shared" si="9"/>
        <v>0</v>
      </c>
      <c r="AA20" s="956">
        <f t="shared" si="9"/>
        <v>0</v>
      </c>
      <c r="AB20" s="956">
        <f t="shared" si="9"/>
        <v>0</v>
      </c>
      <c r="AC20" s="956">
        <f t="shared" si="9"/>
        <v>0</v>
      </c>
      <c r="AD20" s="956">
        <f t="shared" si="9"/>
        <v>0</v>
      </c>
      <c r="AE20" s="956">
        <f t="shared" si="9"/>
        <v>0</v>
      </c>
      <c r="AF20" s="956">
        <f t="shared" si="9"/>
        <v>0</v>
      </c>
      <c r="AG20" s="956">
        <f t="shared" si="9"/>
        <v>0</v>
      </c>
      <c r="AH20" s="956">
        <f t="shared" si="9"/>
        <v>0</v>
      </c>
      <c r="AI20" s="957">
        <f t="shared" si="9"/>
        <v>0</v>
      </c>
      <c r="AJ20" s="142">
        <f>AI20</f>
        <v>0</v>
      </c>
      <c r="AK20" s="912">
        <f>AJ20</f>
        <v>0</v>
      </c>
      <c r="AL20" s="141" t="s">
        <v>423</v>
      </c>
      <c r="AM20" s="91"/>
      <c r="AN20" s="113"/>
      <c r="AO20" s="113"/>
      <c r="AP20" s="113"/>
      <c r="AQ20" s="89"/>
      <c r="AR20" s="89"/>
    </row>
    <row r="21" spans="1:46" s="88" customFormat="1" hidden="1" outlineLevel="1" x14ac:dyDescent="0.2">
      <c r="A21" s="88" t="s">
        <v>424</v>
      </c>
      <c r="B21" s="143"/>
      <c r="C21" s="1054" t="str">
        <f>Januar!C21</f>
        <v>Komp.Feiertg.f.Teilzeiter</v>
      </c>
      <c r="D21" s="1055"/>
      <c r="E21" s="1056"/>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8"/>
      <c r="AJ21" s="1059">
        <f>SUM(D21:AI21)</f>
        <v>0</v>
      </c>
      <c r="AK21" s="1060">
        <f>AJ21</f>
        <v>0</v>
      </c>
      <c r="AL21" s="144" t="s">
        <v>359</v>
      </c>
      <c r="AM21" s="145"/>
      <c r="AN21" s="146"/>
      <c r="AO21" s="146"/>
      <c r="AP21" s="146"/>
      <c r="AQ21" s="147"/>
      <c r="AR21" s="147"/>
      <c r="AT21" s="8"/>
    </row>
    <row r="22" spans="1:46" s="88" customFormat="1" collapsed="1" x14ac:dyDescent="0.2">
      <c r="A22" s="148"/>
      <c r="B22" s="143"/>
      <c r="C22" s="149" t="str">
        <f>Januar!C22</f>
        <v>Ferienbezug</v>
      </c>
      <c r="D22" s="150">
        <f>April!AK22</f>
        <v>8.0500000000000007</v>
      </c>
      <c r="E22" s="913"/>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322"/>
      <c r="AJ22" s="151">
        <f>SUM(E22:AI22)</f>
        <v>0</v>
      </c>
      <c r="AK22" s="152">
        <f>ROUND(D22-AJ22,8)</f>
        <v>8.0500000000000007</v>
      </c>
      <c r="AL22" s="144" t="s">
        <v>425</v>
      </c>
      <c r="AM22" s="145" t="s">
        <v>426</v>
      </c>
      <c r="AN22" s="146"/>
      <c r="AO22" s="146"/>
      <c r="AP22" s="146"/>
      <c r="AQ22" s="147"/>
      <c r="AR22" s="147"/>
    </row>
    <row r="23" spans="1:46" s="88" customFormat="1" ht="22.5" hidden="1" customHeight="1" outlineLevel="1" x14ac:dyDescent="0.2">
      <c r="A23" s="148"/>
      <c r="B23" s="153">
        <f>Eingabeblatt!E29</f>
        <v>0</v>
      </c>
      <c r="C23" s="154" t="str">
        <f>Januar!C23</f>
        <v>Kompens. Arbeitszeit</v>
      </c>
      <c r="D23" s="155">
        <f>April!AK23</f>
        <v>0</v>
      </c>
      <c r="E23" s="913"/>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322"/>
      <c r="AJ23" s="151">
        <f>SUM(E23:AI23)</f>
        <v>0</v>
      </c>
      <c r="AK23" s="152">
        <f>IF(B23="",0,ROUND(B23+D23-AJ23,8))</f>
        <v>0</v>
      </c>
      <c r="AL23" s="144" t="s">
        <v>425</v>
      </c>
      <c r="AM23" s="145"/>
      <c r="AN23" s="146"/>
      <c r="AO23" s="692"/>
      <c r="AP23" s="146"/>
      <c r="AQ23" s="147"/>
      <c r="AR23" s="147"/>
    </row>
    <row r="24" spans="1:46" s="88" customFormat="1" ht="22.5" hidden="1" customHeight="1" outlineLevel="1" x14ac:dyDescent="0.2">
      <c r="A24" s="148" t="s">
        <v>424</v>
      </c>
      <c r="B24" s="156"/>
      <c r="C24" s="154" t="str">
        <f>Januar!C24</f>
        <v>Kompens. Überzeit</v>
      </c>
      <c r="D24" s="150">
        <f>April!AK24</f>
        <v>0</v>
      </c>
      <c r="E24" s="913"/>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322"/>
      <c r="AJ24" s="151">
        <f>SUM(E24:AI24)</f>
        <v>0</v>
      </c>
      <c r="AK24" s="152">
        <f>ROUND(D24+AJ85-AJ24,8)</f>
        <v>0</v>
      </c>
      <c r="AL24" s="157" t="s">
        <v>428</v>
      </c>
      <c r="AM24" s="145" t="s">
        <v>429</v>
      </c>
      <c r="AN24" s="146"/>
      <c r="AO24" s="692"/>
      <c r="AP24" s="146"/>
      <c r="AQ24" s="147"/>
      <c r="AR24" s="147"/>
    </row>
    <row r="25" spans="1:46" s="88" customFormat="1" collapsed="1" x14ac:dyDescent="0.2">
      <c r="A25" s="148"/>
      <c r="B25" s="156"/>
      <c r="C25" s="154" t="str">
        <f>Januar!C25</f>
        <v>Krankheit</v>
      </c>
      <c r="D25" s="158">
        <f>April!AK25</f>
        <v>0</v>
      </c>
      <c r="E25" s="913"/>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322"/>
      <c r="AJ25" s="151">
        <f>SUM(E25:AI25)</f>
        <v>0</v>
      </c>
      <c r="AK25" s="152">
        <f t="shared" ref="AK25:AK30" si="10">ROUND(B25+D25+AJ25,8)</f>
        <v>0</v>
      </c>
      <c r="AL25" s="144" t="s">
        <v>359</v>
      </c>
      <c r="AM25" s="145"/>
      <c r="AN25" s="146"/>
      <c r="AO25" s="146"/>
      <c r="AP25" s="147"/>
      <c r="AQ25" s="147"/>
      <c r="AR25" s="147"/>
    </row>
    <row r="26" spans="1:46" s="88" customFormat="1" x14ac:dyDescent="0.2">
      <c r="A26" s="148"/>
      <c r="B26" s="156"/>
      <c r="C26" s="154" t="str">
        <f>Januar!C26</f>
        <v>Unfall</v>
      </c>
      <c r="D26" s="158">
        <f>April!AK26</f>
        <v>0</v>
      </c>
      <c r="E26" s="913"/>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322"/>
      <c r="AJ26" s="151">
        <f>SUM(E26:AI26)</f>
        <v>0</v>
      </c>
      <c r="AK26" s="152">
        <f t="shared" si="10"/>
        <v>0</v>
      </c>
      <c r="AL26" s="144" t="s">
        <v>359</v>
      </c>
      <c r="AM26" s="145" t="s">
        <v>430</v>
      </c>
      <c r="AN26" s="146"/>
      <c r="AO26" s="146"/>
      <c r="AP26" s="146"/>
      <c r="AQ26" s="147"/>
      <c r="AR26" s="147"/>
    </row>
    <row r="27" spans="1:46" s="88" customFormat="1" x14ac:dyDescent="0.2">
      <c r="A27" s="148"/>
      <c r="B27" s="156"/>
      <c r="C27" s="154" t="str">
        <f>Januar!C27</f>
        <v>Militär / Zivildienst</v>
      </c>
      <c r="D27" s="158">
        <f>April!AK27</f>
        <v>0</v>
      </c>
      <c r="E27" s="913"/>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322"/>
      <c r="AJ27" s="151">
        <f t="shared" ref="AJ27:AJ35" si="11">SUM(E27:AI27)</f>
        <v>0</v>
      </c>
      <c r="AK27" s="152">
        <f t="shared" si="10"/>
        <v>0</v>
      </c>
      <c r="AL27" s="144" t="s">
        <v>359</v>
      </c>
      <c r="AM27" s="145"/>
      <c r="AN27" s="146"/>
      <c r="AO27" s="146"/>
      <c r="AP27" s="147"/>
      <c r="AQ27" s="147"/>
      <c r="AR27" s="147"/>
    </row>
    <row r="28" spans="1:46" s="88" customFormat="1" ht="22.5" hidden="1" customHeight="1" outlineLevel="2" x14ac:dyDescent="0.2">
      <c r="A28" s="148" t="s">
        <v>424</v>
      </c>
      <c r="B28" s="156"/>
      <c r="C28" s="154" t="str">
        <f>Januar!C28</f>
        <v>Nichtberufsunfall</v>
      </c>
      <c r="D28" s="158">
        <f>April!AK28</f>
        <v>0</v>
      </c>
      <c r="E28" s="913"/>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322"/>
      <c r="AJ28" s="151">
        <f t="shared" si="11"/>
        <v>0</v>
      </c>
      <c r="AK28" s="152">
        <f t="shared" si="10"/>
        <v>0</v>
      </c>
      <c r="AL28" s="157" t="s">
        <v>359</v>
      </c>
      <c r="AM28" s="145"/>
      <c r="AN28" s="146"/>
      <c r="AO28" s="692"/>
      <c r="AP28" s="146"/>
      <c r="AQ28" s="147"/>
      <c r="AR28" s="147"/>
    </row>
    <row r="29" spans="1:46" s="88" customFormat="1" collapsed="1" x14ac:dyDescent="0.2">
      <c r="A29" s="148"/>
      <c r="B29" s="156"/>
      <c r="C29" s="154" t="str">
        <f>Januar!C29</f>
        <v>Weiterbildung</v>
      </c>
      <c r="D29" s="158">
        <f>April!AK29</f>
        <v>0</v>
      </c>
      <c r="E29" s="913"/>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322"/>
      <c r="AJ29" s="151">
        <f t="shared" si="11"/>
        <v>0</v>
      </c>
      <c r="AK29" s="152">
        <f t="shared" si="10"/>
        <v>0</v>
      </c>
      <c r="AL29" s="144" t="s">
        <v>359</v>
      </c>
      <c r="AM29" s="145"/>
      <c r="AN29" s="146"/>
      <c r="AO29" s="146"/>
      <c r="AP29" s="147"/>
      <c r="AQ29" s="147"/>
      <c r="AR29" s="147"/>
    </row>
    <row r="30" spans="1:46" s="88" customFormat="1" x14ac:dyDescent="0.2">
      <c r="A30" s="148"/>
      <c r="B30" s="156"/>
      <c r="C30" s="154" t="str">
        <f>Januar!C30</f>
        <v>Unbezahlter Urlaub</v>
      </c>
      <c r="D30" s="158">
        <f>April!AK30</f>
        <v>0</v>
      </c>
      <c r="E30" s="913"/>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322"/>
      <c r="AJ30" s="151">
        <f t="shared" si="11"/>
        <v>0</v>
      </c>
      <c r="AK30" s="152">
        <f t="shared" si="10"/>
        <v>0</v>
      </c>
      <c r="AL30" s="144" t="s">
        <v>359</v>
      </c>
      <c r="AM30" s="145"/>
      <c r="AN30" s="146"/>
      <c r="AO30" s="146"/>
      <c r="AP30" s="147"/>
      <c r="AQ30" s="147"/>
      <c r="AR30" s="147"/>
    </row>
    <row r="31" spans="1:46" s="88" customFormat="1" x14ac:dyDescent="0.2">
      <c r="A31" s="148"/>
      <c r="B31" s="159">
        <f>IF(Eingabeblatt!C183="OK",Eingabeblatt!A183,"  Fehler")</f>
        <v>0</v>
      </c>
      <c r="C31" s="154" t="str">
        <f>Januar!C31</f>
        <v>Bezahlter Urlaub</v>
      </c>
      <c r="D31" s="158">
        <f>April!AK31</f>
        <v>0</v>
      </c>
      <c r="E31" s="913"/>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322"/>
      <c r="AJ31" s="151">
        <f t="shared" si="11"/>
        <v>0</v>
      </c>
      <c r="AK31" s="160">
        <f>ROUND(B31+D31-AJ31,8)</f>
        <v>0</v>
      </c>
      <c r="AL31" s="144" t="s">
        <v>425</v>
      </c>
      <c r="AM31" s="145"/>
      <c r="AN31" s="146"/>
      <c r="AO31" s="146"/>
      <c r="AP31" s="147"/>
      <c r="AQ31" s="147"/>
      <c r="AR31" s="147"/>
    </row>
    <row r="32" spans="1:46" s="88" customFormat="1" x14ac:dyDescent="0.2">
      <c r="A32" s="148"/>
      <c r="B32" s="159">
        <f>IF(Eingabeblatt!C184="OK",Eingabeblatt!A184,"  Fehler")</f>
        <v>0</v>
      </c>
      <c r="C32" s="161" t="str">
        <f>Januar!C32</f>
        <v>Kaderarbeitszeit</v>
      </c>
      <c r="D32" s="162">
        <f>April!AK32</f>
        <v>0</v>
      </c>
      <c r="E32" s="914"/>
      <c r="F32" s="915"/>
      <c r="G32" s="915"/>
      <c r="H32" s="915"/>
      <c r="I32" s="915"/>
      <c r="J32" s="915"/>
      <c r="K32" s="915"/>
      <c r="L32" s="915"/>
      <c r="M32" s="915"/>
      <c r="N32" s="915"/>
      <c r="O32" s="915"/>
      <c r="P32" s="915"/>
      <c r="Q32" s="915"/>
      <c r="R32" s="915"/>
      <c r="S32" s="915"/>
      <c r="T32" s="915"/>
      <c r="U32" s="915"/>
      <c r="V32" s="915"/>
      <c r="W32" s="915"/>
      <c r="X32" s="915"/>
      <c r="Y32" s="915"/>
      <c r="Z32" s="915"/>
      <c r="AA32" s="915"/>
      <c r="AB32" s="915"/>
      <c r="AC32" s="915"/>
      <c r="AD32" s="915"/>
      <c r="AE32" s="915"/>
      <c r="AF32" s="915"/>
      <c r="AG32" s="915"/>
      <c r="AH32" s="915"/>
      <c r="AI32" s="916"/>
      <c r="AJ32" s="163">
        <f t="shared" si="11"/>
        <v>0</v>
      </c>
      <c r="AK32" s="164">
        <f>ROUND(B32+D32-AJ32,8)</f>
        <v>0</v>
      </c>
      <c r="AL32" s="157" t="s">
        <v>425</v>
      </c>
      <c r="AM32" s="145"/>
      <c r="AN32" s="146"/>
      <c r="AO32" s="146"/>
      <c r="AP32" s="146"/>
      <c r="AQ32" s="147"/>
      <c r="AR32" s="147"/>
    </row>
    <row r="33" spans="1:46" ht="22.5" hidden="1" customHeight="1" outlineLevel="1" x14ac:dyDescent="0.2">
      <c r="A33" s="165" t="s">
        <v>424</v>
      </c>
      <c r="B33" s="156">
        <f>IF(Eingabeblatt!C185="OK",Eingabeblatt!A185,"  Fehler")</f>
        <v>0</v>
      </c>
      <c r="C33" s="166" t="str">
        <f>Januar!C33</f>
        <v>Nebenbeschäftigung</v>
      </c>
      <c r="D33" s="162">
        <f>April!AK33</f>
        <v>0</v>
      </c>
      <c r="E33" s="167"/>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9"/>
      <c r="AJ33" s="140">
        <f t="shared" si="11"/>
        <v>0</v>
      </c>
      <c r="AK33" s="917">
        <f>ROUND(B33+D33-AJ33,8)</f>
        <v>0</v>
      </c>
      <c r="AL33" s="157" t="s">
        <v>425</v>
      </c>
      <c r="AM33" s="91"/>
      <c r="AN33" s="113"/>
      <c r="AO33" s="692"/>
      <c r="AP33" s="113"/>
      <c r="AQ33" s="89"/>
      <c r="AR33" s="89"/>
      <c r="AT33" s="88"/>
    </row>
    <row r="34" spans="1:46" ht="22.5" hidden="1" customHeight="1" outlineLevel="1" x14ac:dyDescent="0.2">
      <c r="A34" s="165"/>
      <c r="B34" s="156">
        <f>IF(Eingabeblatt!C182="OK",Eingabeblatt!A182,"  Fehler")</f>
        <v>0</v>
      </c>
      <c r="C34" s="170" t="str">
        <f>Januar!C34</f>
        <v>D A G</v>
      </c>
      <c r="D34" s="162">
        <f>April!AK34</f>
        <v>0</v>
      </c>
      <c r="E34" s="171"/>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3"/>
      <c r="AJ34" s="174">
        <f>SUM(E34:AI34)</f>
        <v>0</v>
      </c>
      <c r="AK34" s="152">
        <f>ROUND(B34+D34-AJ34,8)</f>
        <v>0</v>
      </c>
      <c r="AL34" s="157" t="s">
        <v>425</v>
      </c>
      <c r="AM34" s="91"/>
      <c r="AN34" s="113"/>
      <c r="AO34" s="692"/>
      <c r="AP34" s="113"/>
      <c r="AQ34" s="89"/>
      <c r="AR34" s="89"/>
    </row>
    <row r="35" spans="1:46" ht="22.5" hidden="1" customHeight="1" outlineLevel="1" x14ac:dyDescent="0.2">
      <c r="A35" s="165" t="s">
        <v>424</v>
      </c>
      <c r="B35" s="156"/>
      <c r="C35" s="170" t="str">
        <f>Januar!C35</f>
        <v>Diverses</v>
      </c>
      <c r="D35" s="162">
        <f>April!AK35</f>
        <v>0</v>
      </c>
      <c r="E35" s="171"/>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c r="AJ35" s="174">
        <f t="shared" si="11"/>
        <v>0</v>
      </c>
      <c r="AK35" s="152">
        <f>ROUND(B35+D35+AJ35,8)</f>
        <v>0</v>
      </c>
      <c r="AL35" s="157" t="s">
        <v>359</v>
      </c>
      <c r="AM35" s="91"/>
      <c r="AN35" s="113"/>
      <c r="AO35" s="692"/>
      <c r="AP35" s="113"/>
      <c r="AQ35" s="89"/>
      <c r="AR35" s="89"/>
    </row>
    <row r="36" spans="1:46" ht="22.5" hidden="1" customHeight="1" outlineLevel="1" x14ac:dyDescent="0.2">
      <c r="A36" s="165" t="s">
        <v>424</v>
      </c>
      <c r="B36" s="156"/>
      <c r="C36" s="170" t="str">
        <f>Januar!C36</f>
        <v>freie Zeile 1</v>
      </c>
      <c r="D36" s="162">
        <f>April!AK36</f>
        <v>0</v>
      </c>
      <c r="E36" s="171"/>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c r="AJ36" s="174">
        <f>SUM(E36:AI36)</f>
        <v>0</v>
      </c>
      <c r="AK36" s="152">
        <f>ROUND(B36+D36+AJ36,8)</f>
        <v>0</v>
      </c>
      <c r="AL36" s="157" t="s">
        <v>359</v>
      </c>
      <c r="AM36" s="91"/>
      <c r="AN36" s="113"/>
      <c r="AO36" s="692"/>
      <c r="AP36" s="113"/>
      <c r="AQ36" s="89"/>
      <c r="AR36" s="89"/>
    </row>
    <row r="37" spans="1:46" ht="22.5" hidden="1" customHeight="1" outlineLevel="1" x14ac:dyDescent="0.2">
      <c r="A37" s="165" t="s">
        <v>424</v>
      </c>
      <c r="B37" s="156"/>
      <c r="C37" s="170" t="str">
        <f>Januar!C37</f>
        <v>freie Zeile 2</v>
      </c>
      <c r="D37" s="162">
        <f>April!AK37</f>
        <v>0</v>
      </c>
      <c r="E37" s="171"/>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3"/>
      <c r="AJ37" s="174">
        <f>SUM(E37:AI37)</f>
        <v>0</v>
      </c>
      <c r="AK37" s="152">
        <f>ROUND(B37+D37+AJ37,8)</f>
        <v>0</v>
      </c>
      <c r="AL37" s="157" t="s">
        <v>359</v>
      </c>
      <c r="AM37" s="91"/>
      <c r="AN37" s="113"/>
      <c r="AO37" s="692"/>
      <c r="AP37" s="113"/>
      <c r="AQ37" s="89"/>
      <c r="AR37" s="89"/>
    </row>
    <row r="38" spans="1:46" ht="22.5" hidden="1" customHeight="1" outlineLevel="1" x14ac:dyDescent="0.2">
      <c r="A38" s="165" t="s">
        <v>424</v>
      </c>
      <c r="B38" s="156"/>
      <c r="C38" s="175" t="str">
        <f>Januar!C38</f>
        <v>freie Zeile 3</v>
      </c>
      <c r="D38" s="162">
        <f>April!AK38</f>
        <v>0</v>
      </c>
      <c r="E38" s="176"/>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8"/>
      <c r="AJ38" s="142">
        <f>SUM(E38:AI38)</f>
        <v>0</v>
      </c>
      <c r="AK38" s="912">
        <f>ROUND(B38+D38+AJ38,8)</f>
        <v>0</v>
      </c>
      <c r="AL38" s="157" t="s">
        <v>359</v>
      </c>
      <c r="AM38" s="91"/>
      <c r="AN38" s="113"/>
      <c r="AO38" s="692"/>
      <c r="AP38" s="113"/>
      <c r="AQ38" s="89"/>
      <c r="AR38" s="89"/>
    </row>
    <row r="39" spans="1:46" s="34" customFormat="1" hidden="1" outlineLevel="1" x14ac:dyDescent="0.2">
      <c r="A39" s="179"/>
      <c r="B39" s="180"/>
      <c r="C39" s="918" t="str">
        <f>Januar!C39</f>
        <v>Arbeitszeit aufgeteilt</v>
      </c>
      <c r="D39" s="150">
        <f>April!AK39</f>
        <v>0</v>
      </c>
      <c r="E39" s="1062">
        <f>ROUND(SUM(E41:E84),8)</f>
        <v>0</v>
      </c>
      <c r="F39" s="1063">
        <f>ROUND(SUM(F41:F84),8)</f>
        <v>0</v>
      </c>
      <c r="G39" s="1063">
        <f>ROUND(SUM(G41:G84),8)</f>
        <v>0</v>
      </c>
      <c r="H39" s="1063">
        <f t="shared" ref="H39:AI39" si="12">ROUND(SUM(H41:H84),8)</f>
        <v>0</v>
      </c>
      <c r="I39" s="1063">
        <f t="shared" si="12"/>
        <v>0</v>
      </c>
      <c r="J39" s="1063">
        <f t="shared" si="12"/>
        <v>0</v>
      </c>
      <c r="K39" s="1063">
        <f t="shared" si="12"/>
        <v>0</v>
      </c>
      <c r="L39" s="1063">
        <f t="shared" si="12"/>
        <v>0</v>
      </c>
      <c r="M39" s="1063">
        <f t="shared" si="12"/>
        <v>0</v>
      </c>
      <c r="N39" s="1063">
        <f t="shared" si="12"/>
        <v>0</v>
      </c>
      <c r="O39" s="1063">
        <f t="shared" si="12"/>
        <v>0</v>
      </c>
      <c r="P39" s="1063">
        <f t="shared" si="12"/>
        <v>0</v>
      </c>
      <c r="Q39" s="1063">
        <f t="shared" si="12"/>
        <v>0</v>
      </c>
      <c r="R39" s="1063">
        <f t="shared" si="12"/>
        <v>0</v>
      </c>
      <c r="S39" s="1063">
        <f t="shared" si="12"/>
        <v>0</v>
      </c>
      <c r="T39" s="1063">
        <f t="shared" si="12"/>
        <v>0</v>
      </c>
      <c r="U39" s="1063">
        <f t="shared" si="12"/>
        <v>0</v>
      </c>
      <c r="V39" s="1063">
        <f t="shared" si="12"/>
        <v>0</v>
      </c>
      <c r="W39" s="1063">
        <f t="shared" si="12"/>
        <v>0</v>
      </c>
      <c r="X39" s="1063">
        <f t="shared" si="12"/>
        <v>0</v>
      </c>
      <c r="Y39" s="1063">
        <f t="shared" si="12"/>
        <v>0</v>
      </c>
      <c r="Z39" s="1063">
        <f t="shared" si="12"/>
        <v>0</v>
      </c>
      <c r="AA39" s="1063">
        <f t="shared" si="12"/>
        <v>0</v>
      </c>
      <c r="AB39" s="1063">
        <f t="shared" si="12"/>
        <v>0</v>
      </c>
      <c r="AC39" s="1063">
        <f t="shared" si="12"/>
        <v>0</v>
      </c>
      <c r="AD39" s="1063">
        <f t="shared" si="12"/>
        <v>0</v>
      </c>
      <c r="AE39" s="1063">
        <f t="shared" si="12"/>
        <v>0</v>
      </c>
      <c r="AF39" s="1063">
        <f t="shared" si="12"/>
        <v>0</v>
      </c>
      <c r="AG39" s="1063">
        <f t="shared" si="12"/>
        <v>0</v>
      </c>
      <c r="AH39" s="1063">
        <f t="shared" si="12"/>
        <v>0</v>
      </c>
      <c r="AI39" s="1064">
        <f t="shared" si="12"/>
        <v>0</v>
      </c>
      <c r="AJ39" s="969"/>
      <c r="AK39" s="1065"/>
      <c r="AL39" s="13"/>
      <c r="AM39" s="181"/>
      <c r="AN39" s="182"/>
      <c r="AT39" s="8"/>
    </row>
    <row r="40" spans="1:46" s="34" customFormat="1" ht="42" customHeight="1" collapsed="1" x14ac:dyDescent="0.2">
      <c r="A40" s="179"/>
      <c r="B40" s="180"/>
      <c r="C40" s="919" t="str">
        <f>Januar!C40</f>
        <v>in folgenden Bereichen nicht oder zuviel aufgeteilte Arbeitszeit</v>
      </c>
      <c r="D40" s="920"/>
      <c r="E40" s="921">
        <f t="shared" ref="E40:AI40" si="13">ROUND(IF(E13=E39,0,IF(E13&lt;&gt;0,E13-E39,0)),8)</f>
        <v>0</v>
      </c>
      <c r="F40" s="922">
        <f t="shared" si="13"/>
        <v>0</v>
      </c>
      <c r="G40" s="922">
        <f t="shared" si="13"/>
        <v>0</v>
      </c>
      <c r="H40" s="922">
        <f t="shared" si="13"/>
        <v>0</v>
      </c>
      <c r="I40" s="922">
        <f t="shared" si="13"/>
        <v>0</v>
      </c>
      <c r="J40" s="922">
        <f t="shared" si="13"/>
        <v>0</v>
      </c>
      <c r="K40" s="922">
        <f t="shared" si="13"/>
        <v>0</v>
      </c>
      <c r="L40" s="922">
        <f t="shared" si="13"/>
        <v>0</v>
      </c>
      <c r="M40" s="922">
        <f t="shared" si="13"/>
        <v>0</v>
      </c>
      <c r="N40" s="922">
        <f t="shared" si="13"/>
        <v>0</v>
      </c>
      <c r="O40" s="922">
        <f t="shared" si="13"/>
        <v>0</v>
      </c>
      <c r="P40" s="922">
        <f t="shared" si="13"/>
        <v>0</v>
      </c>
      <c r="Q40" s="922">
        <f t="shared" si="13"/>
        <v>0</v>
      </c>
      <c r="R40" s="922">
        <f t="shared" si="13"/>
        <v>0</v>
      </c>
      <c r="S40" s="922">
        <f t="shared" si="13"/>
        <v>0</v>
      </c>
      <c r="T40" s="922">
        <f t="shared" si="13"/>
        <v>0</v>
      </c>
      <c r="U40" s="922">
        <f t="shared" si="13"/>
        <v>0</v>
      </c>
      <c r="V40" s="922">
        <f t="shared" si="13"/>
        <v>0</v>
      </c>
      <c r="W40" s="922">
        <f t="shared" si="13"/>
        <v>0</v>
      </c>
      <c r="X40" s="922">
        <f t="shared" si="13"/>
        <v>0</v>
      </c>
      <c r="Y40" s="922">
        <f t="shared" si="13"/>
        <v>0</v>
      </c>
      <c r="Z40" s="922">
        <f t="shared" si="13"/>
        <v>0</v>
      </c>
      <c r="AA40" s="922">
        <f t="shared" si="13"/>
        <v>0</v>
      </c>
      <c r="AB40" s="922">
        <f t="shared" si="13"/>
        <v>0</v>
      </c>
      <c r="AC40" s="922">
        <f t="shared" si="13"/>
        <v>0</v>
      </c>
      <c r="AD40" s="922">
        <f t="shared" si="13"/>
        <v>0</v>
      </c>
      <c r="AE40" s="922">
        <f t="shared" si="13"/>
        <v>0</v>
      </c>
      <c r="AF40" s="922">
        <f t="shared" si="13"/>
        <v>0</v>
      </c>
      <c r="AG40" s="922">
        <f t="shared" si="13"/>
        <v>0</v>
      </c>
      <c r="AH40" s="922">
        <f t="shared" si="13"/>
        <v>0</v>
      </c>
      <c r="AI40" s="923">
        <f t="shared" si="13"/>
        <v>0</v>
      </c>
      <c r="AJ40" s="183"/>
      <c r="AK40" s="924"/>
      <c r="AL40" s="13"/>
      <c r="AM40" s="181"/>
      <c r="AN40" s="182"/>
    </row>
    <row r="41" spans="1:46" s="37" customFormat="1" x14ac:dyDescent="0.2">
      <c r="A41" s="148"/>
      <c r="B41" s="1066" t="str">
        <f>ctArbeitsgebiete!A9</f>
        <v>A01</v>
      </c>
      <c r="C41" s="1067" t="str">
        <f>IF(ctArbeitsgebiete!B9&lt;&gt;"",ctArbeitsgebiete!B9,"")</f>
        <v/>
      </c>
      <c r="D41" s="1068"/>
      <c r="E41" s="1069"/>
      <c r="F41" s="1070"/>
      <c r="G41" s="1070"/>
      <c r="H41" s="1070"/>
      <c r="I41" s="1070"/>
      <c r="J41" s="1070"/>
      <c r="K41" s="1070"/>
      <c r="L41" s="1070"/>
      <c r="M41" s="1070"/>
      <c r="N41" s="1070"/>
      <c r="O41" s="1070"/>
      <c r="P41" s="1070"/>
      <c r="Q41" s="1070"/>
      <c r="R41" s="1070"/>
      <c r="S41" s="1070"/>
      <c r="T41" s="1070"/>
      <c r="U41" s="1070"/>
      <c r="V41" s="1070"/>
      <c r="W41" s="1070"/>
      <c r="X41" s="1070"/>
      <c r="Y41" s="1070"/>
      <c r="Z41" s="1070"/>
      <c r="AA41" s="1070"/>
      <c r="AB41" s="1070"/>
      <c r="AC41" s="1070"/>
      <c r="AD41" s="1070"/>
      <c r="AE41" s="1070"/>
      <c r="AF41" s="1070"/>
      <c r="AG41" s="1070"/>
      <c r="AH41" s="1070"/>
      <c r="AI41" s="1071"/>
      <c r="AJ41" s="1072">
        <f>SUM(E41:AI41)</f>
        <v>0</v>
      </c>
      <c r="AK41" s="152"/>
      <c r="AL41" s="146"/>
      <c r="AM41" s="147"/>
      <c r="AN41" s="147"/>
      <c r="AO41" s="147"/>
      <c r="AP41" s="147"/>
      <c r="AQ41" s="147"/>
      <c r="AR41" s="147"/>
      <c r="AS41" s="88"/>
      <c r="AT41" s="34"/>
    </row>
    <row r="42" spans="1:46" x14ac:dyDescent="0.2">
      <c r="A42" s="165"/>
      <c r="B42" s="185" t="str">
        <f>ctArbeitsgebiete!A10</f>
        <v>A02</v>
      </c>
      <c r="C42" s="186" t="str">
        <f>IF(ctArbeitsgebiete!B10&lt;&gt;"",ctArbeitsgebiete!B10,"")</f>
        <v/>
      </c>
      <c r="D42" s="187"/>
      <c r="E42" s="913"/>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322"/>
      <c r="AJ42" s="188">
        <f t="shared" ref="AJ42:AJ84" si="14">SUM(E42:AI42)</f>
        <v>0</v>
      </c>
      <c r="AK42" s="152"/>
      <c r="AL42" s="113"/>
      <c r="AM42" s="89"/>
      <c r="AN42" s="89"/>
      <c r="AO42" s="89"/>
      <c r="AP42" s="89"/>
      <c r="AQ42" s="89"/>
      <c r="AR42" s="89"/>
      <c r="AT42" s="88"/>
    </row>
    <row r="43" spans="1:46" x14ac:dyDescent="0.2">
      <c r="A43" s="165"/>
      <c r="B43" s="185" t="str">
        <f>ctArbeitsgebiete!A11</f>
        <v>A03</v>
      </c>
      <c r="C43" s="186" t="str">
        <f>IF(ctArbeitsgebiete!B11&lt;&gt;"",ctArbeitsgebiete!B11,"")</f>
        <v/>
      </c>
      <c r="D43" s="187"/>
      <c r="E43" s="913"/>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22"/>
      <c r="AJ43" s="188">
        <f t="shared" si="14"/>
        <v>0</v>
      </c>
      <c r="AK43" s="152"/>
      <c r="AL43" s="113"/>
      <c r="AM43" s="89"/>
      <c r="AN43" s="89"/>
      <c r="AO43" s="89"/>
      <c r="AP43" s="89"/>
      <c r="AQ43" s="89"/>
      <c r="AR43" s="89"/>
    </row>
    <row r="44" spans="1:46" x14ac:dyDescent="0.2">
      <c r="A44" s="165"/>
      <c r="B44" s="185" t="str">
        <f>ctArbeitsgebiete!A12</f>
        <v>A04</v>
      </c>
      <c r="C44" s="186" t="str">
        <f>IF(ctArbeitsgebiete!B12&lt;&gt;"",ctArbeitsgebiete!B12,"")</f>
        <v/>
      </c>
      <c r="D44" s="187"/>
      <c r="E44" s="913"/>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322"/>
      <c r="AJ44" s="188">
        <f t="shared" si="14"/>
        <v>0</v>
      </c>
      <c r="AK44" s="152"/>
      <c r="AL44" s="113"/>
      <c r="AM44" s="89"/>
      <c r="AN44" s="89"/>
      <c r="AO44" s="89"/>
      <c r="AP44" s="89"/>
      <c r="AQ44" s="89"/>
      <c r="AR44" s="89"/>
    </row>
    <row r="45" spans="1:46" x14ac:dyDescent="0.2">
      <c r="A45" s="165"/>
      <c r="B45" s="185" t="str">
        <f>ctArbeitsgebiete!A13</f>
        <v>A05</v>
      </c>
      <c r="C45" s="186" t="str">
        <f>IF(ctArbeitsgebiete!B13&lt;&gt;"",ctArbeitsgebiete!B13,"")</f>
        <v/>
      </c>
      <c r="D45" s="187"/>
      <c r="E45" s="913"/>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322"/>
      <c r="AJ45" s="188">
        <f t="shared" si="14"/>
        <v>0</v>
      </c>
      <c r="AK45" s="152"/>
      <c r="AL45" s="113"/>
      <c r="AM45" s="89"/>
      <c r="AN45" s="89"/>
      <c r="AO45" s="89"/>
      <c r="AP45" s="89"/>
      <c r="AQ45" s="89"/>
      <c r="AR45" s="89"/>
    </row>
    <row r="46" spans="1:46" x14ac:dyDescent="0.2">
      <c r="A46" s="165"/>
      <c r="B46" s="185" t="str">
        <f>ctArbeitsgebiete!A14</f>
        <v>A06</v>
      </c>
      <c r="C46" s="186" t="str">
        <f>IF(ctArbeitsgebiete!B14&lt;&gt;"",ctArbeitsgebiete!B14,"")</f>
        <v/>
      </c>
      <c r="D46" s="187"/>
      <c r="E46" s="913"/>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322"/>
      <c r="AJ46" s="188">
        <f t="shared" si="14"/>
        <v>0</v>
      </c>
      <c r="AK46" s="152"/>
      <c r="AL46" s="113"/>
      <c r="AM46" s="89"/>
      <c r="AN46" s="89"/>
      <c r="AO46" s="89"/>
      <c r="AP46" s="89"/>
      <c r="AQ46" s="89"/>
      <c r="AR46" s="89"/>
    </row>
    <row r="47" spans="1:46" x14ac:dyDescent="0.2">
      <c r="A47" s="165"/>
      <c r="B47" s="185" t="str">
        <f>ctArbeitsgebiete!A15</f>
        <v>A07</v>
      </c>
      <c r="C47" s="186" t="str">
        <f>IF(ctArbeitsgebiete!B15&lt;&gt;"",ctArbeitsgebiete!B15,"")</f>
        <v/>
      </c>
      <c r="D47" s="187"/>
      <c r="E47" s="913"/>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322"/>
      <c r="AJ47" s="188">
        <f t="shared" si="14"/>
        <v>0</v>
      </c>
      <c r="AK47" s="152"/>
      <c r="AL47" s="113"/>
      <c r="AM47" s="89"/>
      <c r="AN47" s="89"/>
      <c r="AO47" s="89"/>
      <c r="AP47" s="89"/>
      <c r="AQ47" s="89"/>
      <c r="AR47" s="89"/>
    </row>
    <row r="48" spans="1:46" x14ac:dyDescent="0.2">
      <c r="A48" s="165"/>
      <c r="B48" s="185" t="str">
        <f>ctArbeitsgebiete!A16</f>
        <v>A08</v>
      </c>
      <c r="C48" s="186" t="str">
        <f>IF(ctArbeitsgebiete!B16&lt;&gt;"",ctArbeitsgebiete!B16,"")</f>
        <v/>
      </c>
      <c r="D48" s="187"/>
      <c r="E48" s="913"/>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322"/>
      <c r="AJ48" s="188">
        <f t="shared" si="14"/>
        <v>0</v>
      </c>
      <c r="AK48" s="152"/>
      <c r="AL48" s="113"/>
      <c r="AM48" s="89"/>
      <c r="AN48" s="89"/>
      <c r="AO48" s="89"/>
      <c r="AP48" s="89"/>
      <c r="AQ48" s="89"/>
      <c r="AR48" s="89"/>
    </row>
    <row r="49" spans="1:44" x14ac:dyDescent="0.2">
      <c r="A49" s="165"/>
      <c r="B49" s="185" t="str">
        <f>ctArbeitsgebiete!A17</f>
        <v>A09</v>
      </c>
      <c r="C49" s="186" t="str">
        <f>IF(ctArbeitsgebiete!B17&lt;&gt;"",ctArbeitsgebiete!B17,"")</f>
        <v/>
      </c>
      <c r="D49" s="187"/>
      <c r="E49" s="913"/>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322"/>
      <c r="AJ49" s="188">
        <f t="shared" si="14"/>
        <v>0</v>
      </c>
      <c r="AK49" s="152"/>
      <c r="AL49" s="113"/>
      <c r="AM49" s="89"/>
      <c r="AN49" s="89"/>
      <c r="AO49" s="89"/>
      <c r="AP49" s="89"/>
      <c r="AQ49" s="89"/>
      <c r="AR49" s="89"/>
    </row>
    <row r="50" spans="1:44" x14ac:dyDescent="0.2">
      <c r="A50" s="165"/>
      <c r="B50" s="185" t="str">
        <f>ctArbeitsgebiete!A18</f>
        <v>A10</v>
      </c>
      <c r="C50" s="186" t="str">
        <f>IF(ctArbeitsgebiete!B18&lt;&gt;"",ctArbeitsgebiete!B18,"")</f>
        <v/>
      </c>
      <c r="D50" s="187"/>
      <c r="E50" s="913"/>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322"/>
      <c r="AJ50" s="188">
        <f t="shared" si="14"/>
        <v>0</v>
      </c>
      <c r="AK50" s="152"/>
      <c r="AL50" s="113"/>
      <c r="AM50" s="89"/>
      <c r="AN50" s="89"/>
      <c r="AO50" s="89"/>
      <c r="AP50" s="89"/>
      <c r="AQ50" s="89"/>
      <c r="AR50" s="89"/>
    </row>
    <row r="51" spans="1:44" x14ac:dyDescent="0.2">
      <c r="A51" s="165"/>
      <c r="B51" s="185" t="str">
        <f>ctArbeitsgebiete!A19</f>
        <v>A11</v>
      </c>
      <c r="C51" s="186" t="str">
        <f>IF(ctArbeitsgebiete!B19&lt;&gt;"",ctArbeitsgebiete!B19,"")</f>
        <v/>
      </c>
      <c r="D51" s="187"/>
      <c r="E51" s="913"/>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322"/>
      <c r="AJ51" s="188">
        <f t="shared" si="14"/>
        <v>0</v>
      </c>
      <c r="AK51" s="152"/>
      <c r="AL51" s="113"/>
      <c r="AM51" s="89"/>
      <c r="AN51" s="89"/>
      <c r="AO51" s="89"/>
      <c r="AP51" s="89"/>
      <c r="AQ51" s="89"/>
      <c r="AR51" s="89"/>
    </row>
    <row r="52" spans="1:44" x14ac:dyDescent="0.2">
      <c r="A52" s="165"/>
      <c r="B52" s="185" t="str">
        <f>ctArbeitsgebiete!A20</f>
        <v>A12</v>
      </c>
      <c r="C52" s="186" t="str">
        <f>IF(ctArbeitsgebiete!B20&lt;&gt;"",ctArbeitsgebiete!B20,"")</f>
        <v/>
      </c>
      <c r="D52" s="187"/>
      <c r="E52" s="913"/>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322"/>
      <c r="AJ52" s="188">
        <f t="shared" si="14"/>
        <v>0</v>
      </c>
      <c r="AK52" s="152"/>
      <c r="AL52" s="113"/>
      <c r="AM52" s="89"/>
      <c r="AN52" s="89"/>
      <c r="AO52" s="89"/>
      <c r="AP52" s="89"/>
      <c r="AQ52" s="89"/>
      <c r="AR52" s="89"/>
    </row>
    <row r="53" spans="1:44" x14ac:dyDescent="0.2">
      <c r="A53" s="165"/>
      <c r="B53" s="185" t="str">
        <f>ctArbeitsgebiete!A21</f>
        <v>A13</v>
      </c>
      <c r="C53" s="186" t="str">
        <f>IF(ctArbeitsgebiete!B21&lt;&gt;"",ctArbeitsgebiete!B21,"")</f>
        <v/>
      </c>
      <c r="D53" s="187"/>
      <c r="E53" s="913"/>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322"/>
      <c r="AJ53" s="188">
        <f t="shared" si="14"/>
        <v>0</v>
      </c>
      <c r="AK53" s="152"/>
      <c r="AL53" s="113"/>
      <c r="AM53" s="89"/>
      <c r="AN53" s="89"/>
      <c r="AO53" s="89"/>
      <c r="AP53" s="89"/>
      <c r="AQ53" s="89"/>
      <c r="AR53" s="89"/>
    </row>
    <row r="54" spans="1:44" x14ac:dyDescent="0.2">
      <c r="A54" s="165"/>
      <c r="B54" s="185" t="str">
        <f>ctArbeitsgebiete!A22</f>
        <v>A14</v>
      </c>
      <c r="C54" s="186" t="str">
        <f>IF(ctArbeitsgebiete!B22&lt;&gt;"",ctArbeitsgebiete!B22,"")</f>
        <v/>
      </c>
      <c r="D54" s="187"/>
      <c r="E54" s="913"/>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322"/>
      <c r="AJ54" s="188">
        <f t="shared" si="14"/>
        <v>0</v>
      </c>
      <c r="AK54" s="152"/>
      <c r="AL54" s="113"/>
      <c r="AM54" s="89"/>
      <c r="AN54" s="89"/>
      <c r="AO54" s="89"/>
      <c r="AP54" s="89"/>
      <c r="AQ54" s="89"/>
      <c r="AR54" s="89"/>
    </row>
    <row r="55" spans="1:44" x14ac:dyDescent="0.2">
      <c r="A55" s="165"/>
      <c r="B55" s="185" t="str">
        <f>ctArbeitsgebiete!A23</f>
        <v>A15</v>
      </c>
      <c r="C55" s="186" t="str">
        <f>IF(ctArbeitsgebiete!B23&lt;&gt;"",ctArbeitsgebiete!B23,"")</f>
        <v/>
      </c>
      <c r="D55" s="187"/>
      <c r="E55" s="913"/>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322"/>
      <c r="AJ55" s="188">
        <f t="shared" si="14"/>
        <v>0</v>
      </c>
      <c r="AK55" s="152"/>
      <c r="AL55" s="113"/>
      <c r="AM55" s="89"/>
      <c r="AN55" s="89"/>
      <c r="AO55" s="89"/>
      <c r="AP55" s="89"/>
      <c r="AQ55" s="89"/>
      <c r="AR55" s="89"/>
    </row>
    <row r="56" spans="1:44" x14ac:dyDescent="0.2">
      <c r="A56" s="165"/>
      <c r="B56" s="189" t="str">
        <f>ctArbeitsgebiete!A24</f>
        <v>A16</v>
      </c>
      <c r="C56" s="190" t="str">
        <f>IF(ctArbeitsgebiete!B24&lt;&gt;"",ctArbeitsgebiete!B24,"")</f>
        <v/>
      </c>
      <c r="D56" s="191"/>
      <c r="E56" s="914"/>
      <c r="F56" s="915"/>
      <c r="G56" s="915"/>
      <c r="H56" s="915"/>
      <c r="I56" s="915"/>
      <c r="J56" s="915"/>
      <c r="K56" s="915"/>
      <c r="L56" s="915"/>
      <c r="M56" s="915"/>
      <c r="N56" s="915"/>
      <c r="O56" s="915"/>
      <c r="P56" s="915"/>
      <c r="Q56" s="915"/>
      <c r="R56" s="915"/>
      <c r="S56" s="915"/>
      <c r="T56" s="915"/>
      <c r="U56" s="915"/>
      <c r="V56" s="915"/>
      <c r="W56" s="915"/>
      <c r="X56" s="915"/>
      <c r="Y56" s="915"/>
      <c r="Z56" s="915"/>
      <c r="AA56" s="915"/>
      <c r="AB56" s="915"/>
      <c r="AC56" s="915"/>
      <c r="AD56" s="915"/>
      <c r="AE56" s="915"/>
      <c r="AF56" s="915"/>
      <c r="AG56" s="915"/>
      <c r="AH56" s="915"/>
      <c r="AI56" s="916"/>
      <c r="AJ56" s="192">
        <f t="shared" si="14"/>
        <v>0</v>
      </c>
      <c r="AK56" s="912"/>
      <c r="AL56" s="113"/>
      <c r="AM56" s="89"/>
      <c r="AN56" s="89"/>
      <c r="AO56" s="89"/>
      <c r="AP56" s="89"/>
      <c r="AQ56" s="89"/>
      <c r="AR56" s="89"/>
    </row>
    <row r="57" spans="1:44" x14ac:dyDescent="0.2">
      <c r="A57" s="165"/>
      <c r="B57" s="1066" t="str">
        <f>ctArbeitsgebiete!D9</f>
        <v>B01</v>
      </c>
      <c r="C57" s="1073" t="str">
        <f>IF(ctArbeitsgebiete!E9&lt;&gt;"",ctArbeitsgebiete!E9,"")</f>
        <v/>
      </c>
      <c r="D57" s="1074" t="str">
        <f>IF(ctArbeitsgebiete!F9&lt;&gt;"",ctArbeitsgebiete!F9,"")</f>
        <v/>
      </c>
      <c r="E57" s="1069"/>
      <c r="F57" s="1070"/>
      <c r="G57" s="1070"/>
      <c r="H57" s="1070"/>
      <c r="I57" s="1070"/>
      <c r="J57" s="1070"/>
      <c r="K57" s="1070"/>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0"/>
      <c r="AH57" s="1070"/>
      <c r="AI57" s="1071"/>
      <c r="AJ57" s="1075">
        <f t="shared" si="14"/>
        <v>0</v>
      </c>
      <c r="AK57" s="1060"/>
      <c r="AL57" s="113"/>
      <c r="AM57" s="89"/>
      <c r="AN57" s="89"/>
      <c r="AO57" s="89"/>
      <c r="AP57" s="89"/>
      <c r="AQ57" s="89"/>
      <c r="AR57" s="89"/>
    </row>
    <row r="58" spans="1:44" x14ac:dyDescent="0.2">
      <c r="A58" s="165"/>
      <c r="B58" s="185" t="str">
        <f>ctArbeitsgebiete!D10</f>
        <v>B02</v>
      </c>
      <c r="C58" s="193" t="str">
        <f>IF(ctArbeitsgebiete!E10&lt;&gt;"",ctArbeitsgebiete!E10,"")</f>
        <v/>
      </c>
      <c r="D58" s="194"/>
      <c r="E58" s="913"/>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322"/>
      <c r="AJ58" s="195">
        <f t="shared" si="14"/>
        <v>0</v>
      </c>
      <c r="AK58" s="152"/>
      <c r="AL58" s="113"/>
      <c r="AM58" s="89"/>
      <c r="AN58" s="89"/>
      <c r="AO58" s="89"/>
      <c r="AP58" s="89"/>
      <c r="AQ58" s="89"/>
      <c r="AR58" s="89"/>
    </row>
    <row r="59" spans="1:44" x14ac:dyDescent="0.2">
      <c r="A59" s="165"/>
      <c r="B59" s="185" t="str">
        <f>ctArbeitsgebiete!D11</f>
        <v>B03</v>
      </c>
      <c r="C59" s="193" t="str">
        <f>IF(ctArbeitsgebiete!E11&lt;&gt;"",ctArbeitsgebiete!E11,"")</f>
        <v/>
      </c>
      <c r="D59" s="194"/>
      <c r="E59" s="913"/>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322"/>
      <c r="AJ59" s="195">
        <f t="shared" si="14"/>
        <v>0</v>
      </c>
      <c r="AK59" s="152"/>
      <c r="AL59" s="113"/>
      <c r="AM59" s="89"/>
      <c r="AN59" s="89"/>
      <c r="AO59" s="89"/>
      <c r="AP59" s="89"/>
      <c r="AQ59" s="89"/>
      <c r="AR59" s="89"/>
    </row>
    <row r="60" spans="1:44" x14ac:dyDescent="0.2">
      <c r="A60" s="165"/>
      <c r="B60" s="185" t="str">
        <f>ctArbeitsgebiete!D12</f>
        <v>B04</v>
      </c>
      <c r="C60" s="193" t="str">
        <f>IF(ctArbeitsgebiete!E12&lt;&gt;"",ctArbeitsgebiete!E12,"")</f>
        <v/>
      </c>
      <c r="D60" s="194"/>
      <c r="E60" s="913"/>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322"/>
      <c r="AJ60" s="195">
        <f t="shared" si="14"/>
        <v>0</v>
      </c>
      <c r="AK60" s="152"/>
      <c r="AL60" s="113"/>
      <c r="AM60" s="89"/>
      <c r="AN60" s="89"/>
      <c r="AO60" s="89"/>
      <c r="AP60" s="89"/>
      <c r="AQ60" s="89"/>
      <c r="AR60" s="89"/>
    </row>
    <row r="61" spans="1:44" x14ac:dyDescent="0.2">
      <c r="A61" s="165"/>
      <c r="B61" s="185" t="str">
        <f>ctArbeitsgebiete!D13</f>
        <v>B05</v>
      </c>
      <c r="C61" s="193" t="str">
        <f>IF(ctArbeitsgebiete!E13&lt;&gt;"",ctArbeitsgebiete!E13,"")</f>
        <v/>
      </c>
      <c r="D61" s="194"/>
      <c r="E61" s="913"/>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322"/>
      <c r="AJ61" s="195">
        <f t="shared" si="14"/>
        <v>0</v>
      </c>
      <c r="AK61" s="152"/>
      <c r="AL61" s="113"/>
      <c r="AM61" s="89"/>
      <c r="AN61" s="89"/>
      <c r="AO61" s="89"/>
      <c r="AP61" s="89"/>
      <c r="AQ61" s="89"/>
      <c r="AR61" s="89"/>
    </row>
    <row r="62" spans="1:44" x14ac:dyDescent="0.2">
      <c r="A62" s="165"/>
      <c r="B62" s="185" t="str">
        <f>ctArbeitsgebiete!D14</f>
        <v>B06</v>
      </c>
      <c r="C62" s="193" t="str">
        <f>IF(ctArbeitsgebiete!E14&lt;&gt;"",ctArbeitsgebiete!E14,"")</f>
        <v/>
      </c>
      <c r="D62" s="194"/>
      <c r="E62" s="913"/>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322"/>
      <c r="AJ62" s="195">
        <f t="shared" si="14"/>
        <v>0</v>
      </c>
      <c r="AK62" s="152"/>
      <c r="AL62" s="113"/>
      <c r="AM62" s="89"/>
      <c r="AN62" s="89"/>
      <c r="AO62" s="89"/>
      <c r="AP62" s="89"/>
      <c r="AQ62" s="89"/>
      <c r="AR62" s="89"/>
    </row>
    <row r="63" spans="1:44" x14ac:dyDescent="0.2">
      <c r="A63" s="165"/>
      <c r="B63" s="185" t="str">
        <f>ctArbeitsgebiete!D15</f>
        <v>B07</v>
      </c>
      <c r="C63" s="193" t="str">
        <f>IF(ctArbeitsgebiete!E15&lt;&gt;"",ctArbeitsgebiete!E15,"")</f>
        <v/>
      </c>
      <c r="D63" s="194"/>
      <c r="E63" s="913"/>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322"/>
      <c r="AJ63" s="195">
        <f t="shared" si="14"/>
        <v>0</v>
      </c>
      <c r="AK63" s="152"/>
      <c r="AL63" s="113"/>
      <c r="AM63" s="89"/>
      <c r="AN63" s="89"/>
      <c r="AO63" s="89"/>
      <c r="AP63" s="89"/>
      <c r="AQ63" s="89"/>
      <c r="AR63" s="89"/>
    </row>
    <row r="64" spans="1:44" x14ac:dyDescent="0.2">
      <c r="A64" s="165"/>
      <c r="B64" s="185" t="str">
        <f>ctArbeitsgebiete!D16</f>
        <v>B08</v>
      </c>
      <c r="C64" s="193" t="str">
        <f>IF(ctArbeitsgebiete!E16&lt;&gt;"",ctArbeitsgebiete!E16,"")</f>
        <v/>
      </c>
      <c r="D64" s="194"/>
      <c r="E64" s="913"/>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322"/>
      <c r="AJ64" s="195">
        <f t="shared" si="14"/>
        <v>0</v>
      </c>
      <c r="AK64" s="152"/>
      <c r="AL64" s="113"/>
      <c r="AM64" s="89"/>
      <c r="AN64" s="89"/>
      <c r="AO64" s="89"/>
      <c r="AP64" s="89"/>
      <c r="AQ64" s="89"/>
      <c r="AR64" s="89"/>
    </row>
    <row r="65" spans="1:44" x14ac:dyDescent="0.2">
      <c r="A65" s="165"/>
      <c r="B65" s="185" t="str">
        <f>ctArbeitsgebiete!D17</f>
        <v>B09</v>
      </c>
      <c r="C65" s="193" t="str">
        <f>IF(ctArbeitsgebiete!E17&lt;&gt;"",ctArbeitsgebiete!E17,"")</f>
        <v/>
      </c>
      <c r="D65" s="194"/>
      <c r="E65" s="913"/>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322"/>
      <c r="AJ65" s="195">
        <f t="shared" si="14"/>
        <v>0</v>
      </c>
      <c r="AK65" s="152"/>
      <c r="AL65" s="113"/>
      <c r="AM65" s="89"/>
      <c r="AN65" s="89"/>
      <c r="AO65" s="89"/>
      <c r="AP65" s="89"/>
      <c r="AQ65" s="89"/>
      <c r="AR65" s="89"/>
    </row>
    <row r="66" spans="1:44" x14ac:dyDescent="0.2">
      <c r="A66" s="165"/>
      <c r="B66" s="185" t="str">
        <f>ctArbeitsgebiete!D18</f>
        <v>B10</v>
      </c>
      <c r="C66" s="193" t="str">
        <f>IF(ctArbeitsgebiete!E18&lt;&gt;"",ctArbeitsgebiete!E18,"")</f>
        <v/>
      </c>
      <c r="D66" s="194"/>
      <c r="E66" s="913"/>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322"/>
      <c r="AJ66" s="195">
        <f t="shared" si="14"/>
        <v>0</v>
      </c>
      <c r="AK66" s="152"/>
      <c r="AL66" s="113"/>
      <c r="AM66" s="89"/>
      <c r="AN66" s="89"/>
      <c r="AO66" s="89"/>
      <c r="AP66" s="89"/>
      <c r="AQ66" s="89"/>
      <c r="AR66" s="89"/>
    </row>
    <row r="67" spans="1:44" x14ac:dyDescent="0.2">
      <c r="A67" s="165"/>
      <c r="B67" s="185" t="str">
        <f>ctArbeitsgebiete!D19</f>
        <v>B11</v>
      </c>
      <c r="C67" s="193" t="str">
        <f>IF(ctArbeitsgebiete!E19&lt;&gt;"",ctArbeitsgebiete!E19,"")</f>
        <v/>
      </c>
      <c r="D67" s="194"/>
      <c r="E67" s="913"/>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322"/>
      <c r="AJ67" s="195">
        <f t="shared" si="14"/>
        <v>0</v>
      </c>
      <c r="AK67" s="152"/>
      <c r="AL67" s="113"/>
      <c r="AM67" s="89"/>
      <c r="AN67" s="89"/>
      <c r="AO67" s="89"/>
      <c r="AP67" s="89"/>
      <c r="AQ67" s="89"/>
      <c r="AR67" s="89"/>
    </row>
    <row r="68" spans="1:44" x14ac:dyDescent="0.2">
      <c r="A68" s="165"/>
      <c r="B68" s="189" t="str">
        <f>ctArbeitsgebiete!D20</f>
        <v>B12</v>
      </c>
      <c r="C68" s="196" t="str">
        <f>IF(ctArbeitsgebiete!E20&lt;&gt;"",ctArbeitsgebiete!E20,"")</f>
        <v/>
      </c>
      <c r="D68" s="197"/>
      <c r="E68" s="914"/>
      <c r="F68" s="915"/>
      <c r="G68" s="915"/>
      <c r="H68" s="915"/>
      <c r="I68" s="915"/>
      <c r="J68" s="915"/>
      <c r="K68" s="915"/>
      <c r="L68" s="915"/>
      <c r="M68" s="915"/>
      <c r="N68" s="915"/>
      <c r="O68" s="915"/>
      <c r="P68" s="915"/>
      <c r="Q68" s="915"/>
      <c r="R68" s="915"/>
      <c r="S68" s="915"/>
      <c r="T68" s="915"/>
      <c r="U68" s="915"/>
      <c r="V68" s="915"/>
      <c r="W68" s="915"/>
      <c r="X68" s="915"/>
      <c r="Y68" s="915"/>
      <c r="Z68" s="915"/>
      <c r="AA68" s="915"/>
      <c r="AB68" s="915"/>
      <c r="AC68" s="915"/>
      <c r="AD68" s="915"/>
      <c r="AE68" s="915"/>
      <c r="AF68" s="915"/>
      <c r="AG68" s="915"/>
      <c r="AH68" s="915"/>
      <c r="AI68" s="916"/>
      <c r="AJ68" s="198">
        <f t="shared" si="14"/>
        <v>0</v>
      </c>
      <c r="AK68" s="912"/>
      <c r="AL68" s="113"/>
      <c r="AM68" s="89"/>
      <c r="AN68" s="89"/>
      <c r="AO68" s="89"/>
      <c r="AP68" s="89"/>
      <c r="AQ68" s="89"/>
      <c r="AR68" s="89"/>
    </row>
    <row r="69" spans="1:44" x14ac:dyDescent="0.2">
      <c r="A69" s="165"/>
      <c r="B69" s="1066" t="str">
        <f>ctArbeitsgebiete!G9</f>
        <v>C01</v>
      </c>
      <c r="C69" s="1076" t="str">
        <f>IF(ctArbeitsgebiete!H9&lt;&gt;"",ctArbeitsgebiete!H9,"")</f>
        <v/>
      </c>
      <c r="D69" s="1077"/>
      <c r="E69" s="1069"/>
      <c r="F69" s="1070"/>
      <c r="G69" s="1070"/>
      <c r="H69" s="1070"/>
      <c r="I69" s="1070"/>
      <c r="J69" s="1070"/>
      <c r="K69" s="1070"/>
      <c r="L69" s="1070"/>
      <c r="M69" s="1070"/>
      <c r="N69" s="1070"/>
      <c r="O69" s="1070"/>
      <c r="P69" s="1070"/>
      <c r="Q69" s="1070"/>
      <c r="R69" s="1070"/>
      <c r="S69" s="1070"/>
      <c r="T69" s="1070"/>
      <c r="U69" s="1070"/>
      <c r="V69" s="1070"/>
      <c r="W69" s="1070"/>
      <c r="X69" s="1070"/>
      <c r="Y69" s="1070"/>
      <c r="Z69" s="1070"/>
      <c r="AA69" s="1070"/>
      <c r="AB69" s="1070"/>
      <c r="AC69" s="1070"/>
      <c r="AD69" s="1070"/>
      <c r="AE69" s="1070"/>
      <c r="AF69" s="1070"/>
      <c r="AG69" s="1070"/>
      <c r="AH69" s="1070"/>
      <c r="AI69" s="1071"/>
      <c r="AJ69" s="1078">
        <f t="shared" si="14"/>
        <v>0</v>
      </c>
      <c r="AK69" s="1060"/>
      <c r="AL69" s="113"/>
      <c r="AM69" s="89"/>
      <c r="AN69" s="89"/>
      <c r="AO69" s="89"/>
      <c r="AP69" s="89"/>
      <c r="AQ69" s="89"/>
      <c r="AR69" s="89"/>
    </row>
    <row r="70" spans="1:44" x14ac:dyDescent="0.2">
      <c r="A70" s="165"/>
      <c r="B70" s="185" t="str">
        <f>ctArbeitsgebiete!G10</f>
        <v>C02</v>
      </c>
      <c r="C70" s="199" t="str">
        <f>IF(ctArbeitsgebiete!H10&lt;&gt;"",ctArbeitsgebiete!H10,"")</f>
        <v/>
      </c>
      <c r="D70" s="200"/>
      <c r="E70" s="913"/>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322"/>
      <c r="AJ70" s="201">
        <f t="shared" si="14"/>
        <v>0</v>
      </c>
      <c r="AK70" s="152"/>
      <c r="AL70" s="113"/>
      <c r="AM70" s="89"/>
      <c r="AN70" s="89"/>
      <c r="AO70" s="89"/>
      <c r="AP70" s="89"/>
      <c r="AQ70" s="89"/>
      <c r="AR70" s="89"/>
    </row>
    <row r="71" spans="1:44" x14ac:dyDescent="0.2">
      <c r="A71" s="165"/>
      <c r="B71" s="185" t="str">
        <f>ctArbeitsgebiete!G11</f>
        <v>C03</v>
      </c>
      <c r="C71" s="199" t="str">
        <f>IF(ctArbeitsgebiete!H11&lt;&gt;"",ctArbeitsgebiete!H11,"")</f>
        <v/>
      </c>
      <c r="D71" s="200"/>
      <c r="E71" s="913"/>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322"/>
      <c r="AJ71" s="201">
        <f t="shared" si="14"/>
        <v>0</v>
      </c>
      <c r="AK71" s="152"/>
      <c r="AL71" s="113"/>
      <c r="AM71" s="89"/>
      <c r="AN71" s="89"/>
      <c r="AO71" s="89"/>
      <c r="AP71" s="89"/>
      <c r="AQ71" s="89"/>
      <c r="AR71" s="89"/>
    </row>
    <row r="72" spans="1:44" x14ac:dyDescent="0.2">
      <c r="A72" s="165"/>
      <c r="B72" s="185" t="str">
        <f>ctArbeitsgebiete!G12</f>
        <v>C04</v>
      </c>
      <c r="C72" s="199" t="str">
        <f>IF(ctArbeitsgebiete!H12&lt;&gt;"",ctArbeitsgebiete!H12,"")</f>
        <v/>
      </c>
      <c r="D72" s="200"/>
      <c r="E72" s="913"/>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322"/>
      <c r="AJ72" s="201">
        <f t="shared" si="14"/>
        <v>0</v>
      </c>
      <c r="AK72" s="152"/>
      <c r="AL72" s="113"/>
      <c r="AM72" s="89"/>
      <c r="AN72" s="89"/>
      <c r="AO72" s="89"/>
      <c r="AP72" s="89"/>
      <c r="AQ72" s="89"/>
      <c r="AR72" s="89"/>
    </row>
    <row r="73" spans="1:44" x14ac:dyDescent="0.2">
      <c r="A73" s="165"/>
      <c r="B73" s="185" t="str">
        <f>ctArbeitsgebiete!G13</f>
        <v>C05</v>
      </c>
      <c r="C73" s="199" t="str">
        <f>IF(ctArbeitsgebiete!H13&lt;&gt;"",ctArbeitsgebiete!H13,"")</f>
        <v/>
      </c>
      <c r="D73" s="200"/>
      <c r="E73" s="913"/>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322"/>
      <c r="AJ73" s="201">
        <f t="shared" si="14"/>
        <v>0</v>
      </c>
      <c r="AK73" s="152"/>
      <c r="AL73" s="113"/>
      <c r="AM73" s="89"/>
      <c r="AN73" s="89"/>
      <c r="AO73" s="89"/>
      <c r="AP73" s="89"/>
      <c r="AQ73" s="89"/>
      <c r="AR73" s="89"/>
    </row>
    <row r="74" spans="1:44" x14ac:dyDescent="0.2">
      <c r="A74" s="165"/>
      <c r="B74" s="185" t="str">
        <f>ctArbeitsgebiete!G14</f>
        <v>C06</v>
      </c>
      <c r="C74" s="199" t="str">
        <f>IF(ctArbeitsgebiete!H14&lt;&gt;"",ctArbeitsgebiete!H14,"")</f>
        <v/>
      </c>
      <c r="D74" s="200"/>
      <c r="E74" s="913"/>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322"/>
      <c r="AJ74" s="201">
        <f t="shared" si="14"/>
        <v>0</v>
      </c>
      <c r="AK74" s="152"/>
      <c r="AL74" s="113"/>
      <c r="AM74" s="89"/>
      <c r="AN74" s="89"/>
      <c r="AO74" s="89"/>
      <c r="AP74" s="89"/>
      <c r="AQ74" s="89"/>
      <c r="AR74" s="89"/>
    </row>
    <row r="75" spans="1:44" x14ac:dyDescent="0.2">
      <c r="A75" s="165"/>
      <c r="B75" s="185" t="str">
        <f>ctArbeitsgebiete!G15</f>
        <v>C07</v>
      </c>
      <c r="C75" s="199" t="str">
        <f>IF(ctArbeitsgebiete!H15&lt;&gt;"",ctArbeitsgebiete!H15,"")</f>
        <v/>
      </c>
      <c r="D75" s="200"/>
      <c r="E75" s="913"/>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322"/>
      <c r="AJ75" s="201">
        <f t="shared" si="14"/>
        <v>0</v>
      </c>
      <c r="AK75" s="152"/>
      <c r="AL75" s="113"/>
      <c r="AM75" s="89"/>
      <c r="AN75" s="89"/>
      <c r="AO75" s="89"/>
      <c r="AP75" s="89"/>
      <c r="AQ75" s="89"/>
      <c r="AR75" s="89"/>
    </row>
    <row r="76" spans="1:44" x14ac:dyDescent="0.2">
      <c r="A76" s="165"/>
      <c r="B76" s="189" t="str">
        <f>ctArbeitsgebiete!G16</f>
        <v>C08</v>
      </c>
      <c r="C76" s="202" t="str">
        <f>IF(ctArbeitsgebiete!H16&lt;&gt;"",ctArbeitsgebiete!H16,"")</f>
        <v/>
      </c>
      <c r="D76" s="203"/>
      <c r="E76" s="914"/>
      <c r="F76" s="915"/>
      <c r="G76" s="915"/>
      <c r="H76" s="915"/>
      <c r="I76" s="915"/>
      <c r="J76" s="915"/>
      <c r="K76" s="915"/>
      <c r="L76" s="915"/>
      <c r="M76" s="915"/>
      <c r="N76" s="915"/>
      <c r="O76" s="915"/>
      <c r="P76" s="915"/>
      <c r="Q76" s="915"/>
      <c r="R76" s="915"/>
      <c r="S76" s="915"/>
      <c r="T76" s="915"/>
      <c r="U76" s="915"/>
      <c r="V76" s="915"/>
      <c r="W76" s="915"/>
      <c r="X76" s="915"/>
      <c r="Y76" s="915"/>
      <c r="Z76" s="915"/>
      <c r="AA76" s="915"/>
      <c r="AB76" s="915"/>
      <c r="AC76" s="915"/>
      <c r="AD76" s="915"/>
      <c r="AE76" s="915"/>
      <c r="AF76" s="915"/>
      <c r="AG76" s="915"/>
      <c r="AH76" s="915"/>
      <c r="AI76" s="916"/>
      <c r="AJ76" s="204">
        <f t="shared" si="14"/>
        <v>0</v>
      </c>
      <c r="AK76" s="912"/>
      <c r="AL76" s="113"/>
      <c r="AM76" s="89"/>
      <c r="AN76" s="89"/>
      <c r="AO76" s="89"/>
      <c r="AP76" s="89"/>
      <c r="AQ76" s="89"/>
      <c r="AR76" s="89"/>
    </row>
    <row r="77" spans="1:44" x14ac:dyDescent="0.2">
      <c r="A77" s="165"/>
      <c r="B77" s="1066" t="str">
        <f>ctArbeitsgebiete!J9</f>
        <v>D01</v>
      </c>
      <c r="C77" s="1079" t="str">
        <f>IF(ctArbeitsgebiete!K9&lt;&gt;"",ctArbeitsgebiete!K9,"")</f>
        <v>DAG</v>
      </c>
      <c r="D77" s="1080"/>
      <c r="E77" s="1069"/>
      <c r="F77" s="1070"/>
      <c r="G77" s="1070"/>
      <c r="H77" s="1070"/>
      <c r="I77" s="1070"/>
      <c r="J77" s="1070"/>
      <c r="K77" s="1070"/>
      <c r="L77" s="1070"/>
      <c r="M77" s="1070"/>
      <c r="N77" s="1070"/>
      <c r="O77" s="1070"/>
      <c r="P77" s="1070"/>
      <c r="Q77" s="1070"/>
      <c r="R77" s="1070"/>
      <c r="S77" s="1070"/>
      <c r="T77" s="1070"/>
      <c r="U77" s="1070"/>
      <c r="V77" s="1070"/>
      <c r="W77" s="1070"/>
      <c r="X77" s="1070"/>
      <c r="Y77" s="1070"/>
      <c r="Z77" s="1070"/>
      <c r="AA77" s="1070"/>
      <c r="AB77" s="1070"/>
      <c r="AC77" s="1070"/>
      <c r="AD77" s="1070"/>
      <c r="AE77" s="1070"/>
      <c r="AF77" s="1070"/>
      <c r="AG77" s="1070"/>
      <c r="AH77" s="1070"/>
      <c r="AI77" s="1071"/>
      <c r="AJ77" s="1059">
        <f t="shared" si="14"/>
        <v>0</v>
      </c>
      <c r="AK77" s="1060"/>
      <c r="AL77" s="113"/>
      <c r="AM77" s="89"/>
      <c r="AN77" s="89"/>
      <c r="AO77" s="89"/>
      <c r="AP77" s="89"/>
      <c r="AQ77" s="89"/>
      <c r="AR77" s="89"/>
    </row>
    <row r="78" spans="1:44" x14ac:dyDescent="0.2">
      <c r="A78" s="165"/>
      <c r="B78" s="185" t="str">
        <f>ctArbeitsgebiete!J10</f>
        <v>D02</v>
      </c>
      <c r="C78" s="205" t="str">
        <f>IF(ctArbeitsgebiete!K10&lt;&gt;"",ctArbeitsgebiete!K10,"")</f>
        <v>Betriebsausflug</v>
      </c>
      <c r="D78" s="206"/>
      <c r="E78" s="913"/>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322"/>
      <c r="AJ78" s="174">
        <f t="shared" si="14"/>
        <v>0</v>
      </c>
      <c r="AK78" s="152"/>
      <c r="AL78" s="113"/>
      <c r="AM78" s="89"/>
      <c r="AN78" s="89"/>
      <c r="AO78" s="89"/>
      <c r="AP78" s="89"/>
      <c r="AQ78" s="89"/>
      <c r="AR78" s="89"/>
    </row>
    <row r="79" spans="1:44" x14ac:dyDescent="0.2">
      <c r="A79" s="165"/>
      <c r="B79" s="185" t="str">
        <f>ctArbeitsgebiete!J11</f>
        <v>D03</v>
      </c>
      <c r="C79" s="205" t="str">
        <f>IF(ctArbeitsgebiete!K11&lt;&gt;"",ctArbeitsgebiete!K11,"")</f>
        <v/>
      </c>
      <c r="D79" s="206"/>
      <c r="E79" s="913"/>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322"/>
      <c r="AJ79" s="174">
        <f t="shared" si="14"/>
        <v>0</v>
      </c>
      <c r="AK79" s="152"/>
      <c r="AL79" s="113"/>
      <c r="AM79" s="89"/>
      <c r="AN79" s="89"/>
      <c r="AO79" s="89"/>
      <c r="AP79" s="89"/>
      <c r="AQ79" s="89"/>
      <c r="AR79" s="89"/>
    </row>
    <row r="80" spans="1:44" x14ac:dyDescent="0.2">
      <c r="A80" s="165"/>
      <c r="B80" s="185" t="str">
        <f>ctArbeitsgebiete!J12</f>
        <v>D04</v>
      </c>
      <c r="C80" s="205" t="str">
        <f>IF(ctArbeitsgebiete!K12&lt;&gt;"",ctArbeitsgebiete!K12,"")</f>
        <v/>
      </c>
      <c r="D80" s="206"/>
      <c r="E80" s="913"/>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322"/>
      <c r="AJ80" s="174">
        <f t="shared" si="14"/>
        <v>0</v>
      </c>
      <c r="AK80" s="152"/>
      <c r="AL80" s="113"/>
      <c r="AM80" s="89"/>
      <c r="AN80" s="89"/>
      <c r="AO80" s="89"/>
      <c r="AP80" s="89"/>
      <c r="AQ80" s="89"/>
      <c r="AR80" s="89"/>
    </row>
    <row r="81" spans="1:44" x14ac:dyDescent="0.2">
      <c r="A81" s="165"/>
      <c r="B81" s="185" t="str">
        <f>ctArbeitsgebiete!J13</f>
        <v>D05</v>
      </c>
      <c r="C81" s="205" t="str">
        <f>IF(ctArbeitsgebiete!K13&lt;&gt;"",ctArbeitsgebiete!K13,"")</f>
        <v/>
      </c>
      <c r="D81" s="206"/>
      <c r="E81" s="913"/>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322"/>
      <c r="AJ81" s="174">
        <f t="shared" si="14"/>
        <v>0</v>
      </c>
      <c r="AK81" s="152"/>
      <c r="AL81" s="113"/>
      <c r="AM81" s="89"/>
      <c r="AN81" s="89"/>
      <c r="AO81" s="89"/>
      <c r="AP81" s="89"/>
      <c r="AQ81" s="89"/>
      <c r="AR81" s="89"/>
    </row>
    <row r="82" spans="1:44" x14ac:dyDescent="0.2">
      <c r="A82" s="165"/>
      <c r="B82" s="185" t="str">
        <f>ctArbeitsgebiete!J14</f>
        <v>D06</v>
      </c>
      <c r="C82" s="205" t="str">
        <f>IF(ctArbeitsgebiete!K14&lt;&gt;"",ctArbeitsgebiete!K14,"")</f>
        <v/>
      </c>
      <c r="D82" s="206"/>
      <c r="E82" s="913"/>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322"/>
      <c r="AJ82" s="174">
        <f t="shared" si="14"/>
        <v>0</v>
      </c>
      <c r="AK82" s="152"/>
      <c r="AL82" s="113"/>
      <c r="AM82" s="89"/>
      <c r="AN82" s="89"/>
      <c r="AO82" s="89"/>
      <c r="AP82" s="89"/>
      <c r="AQ82" s="89"/>
      <c r="AR82" s="89"/>
    </row>
    <row r="83" spans="1:44" x14ac:dyDescent="0.2">
      <c r="A83" s="165"/>
      <c r="B83" s="185" t="str">
        <f>ctArbeitsgebiete!J15</f>
        <v>D07</v>
      </c>
      <c r="C83" s="205" t="str">
        <f>IF(ctArbeitsgebiete!K15&lt;&gt;"",ctArbeitsgebiete!K15,"")</f>
        <v/>
      </c>
      <c r="D83" s="206"/>
      <c r="E83" s="913"/>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322"/>
      <c r="AJ83" s="174">
        <f t="shared" si="14"/>
        <v>0</v>
      </c>
      <c r="AK83" s="152"/>
      <c r="AL83" s="113"/>
      <c r="AM83" s="89"/>
      <c r="AN83" s="89"/>
      <c r="AO83" s="89"/>
      <c r="AP83" s="89"/>
      <c r="AQ83" s="89"/>
      <c r="AR83" s="89"/>
    </row>
    <row r="84" spans="1:44" ht="13.5" thickBot="1" x14ac:dyDescent="0.25">
      <c r="A84" s="165"/>
      <c r="B84" s="189" t="str">
        <f>ctArbeitsgebiete!J16</f>
        <v>D08</v>
      </c>
      <c r="C84" s="207" t="str">
        <f>IF(ctArbeitsgebiete!K16&lt;&gt;"",ctArbeitsgebiete!K16,"")</f>
        <v/>
      </c>
      <c r="D84" s="208"/>
      <c r="E84" s="925"/>
      <c r="F84" s="926"/>
      <c r="G84" s="926"/>
      <c r="H84" s="926"/>
      <c r="I84" s="926"/>
      <c r="J84" s="926"/>
      <c r="K84" s="926"/>
      <c r="L84" s="926"/>
      <c r="M84" s="926"/>
      <c r="N84" s="926"/>
      <c r="O84" s="926"/>
      <c r="P84" s="926"/>
      <c r="Q84" s="926"/>
      <c r="R84" s="926"/>
      <c r="S84" s="926"/>
      <c r="T84" s="926"/>
      <c r="U84" s="926"/>
      <c r="V84" s="926"/>
      <c r="W84" s="926"/>
      <c r="X84" s="926"/>
      <c r="Y84" s="926"/>
      <c r="Z84" s="926"/>
      <c r="AA84" s="926"/>
      <c r="AB84" s="926"/>
      <c r="AC84" s="926"/>
      <c r="AD84" s="926"/>
      <c r="AE84" s="926"/>
      <c r="AF84" s="926"/>
      <c r="AG84" s="926"/>
      <c r="AH84" s="926"/>
      <c r="AI84" s="927"/>
      <c r="AJ84" s="142">
        <f t="shared" si="14"/>
        <v>0</v>
      </c>
      <c r="AK84" s="912"/>
      <c r="AL84" s="113"/>
      <c r="AM84" s="89"/>
      <c r="AN84" s="89"/>
      <c r="AO84" s="89"/>
      <c r="AP84" s="89"/>
      <c r="AQ84" s="89"/>
      <c r="AR84" s="89"/>
    </row>
    <row r="85" spans="1:44" ht="22.5" hidden="1" customHeight="1" outlineLevel="1" thickBot="1" x14ac:dyDescent="0.25">
      <c r="A85" s="8" t="s">
        <v>424</v>
      </c>
      <c r="B85" s="928"/>
      <c r="C85" s="929" t="s">
        <v>433</v>
      </c>
      <c r="D85" s="930"/>
      <c r="E85" s="931"/>
      <c r="F85" s="932"/>
      <c r="G85" s="932"/>
      <c r="H85" s="932"/>
      <c r="I85" s="932"/>
      <c r="J85" s="932"/>
      <c r="K85" s="932"/>
      <c r="L85" s="932"/>
      <c r="M85" s="932"/>
      <c r="N85" s="932"/>
      <c r="O85" s="932"/>
      <c r="P85" s="932"/>
      <c r="Q85" s="932"/>
      <c r="R85" s="932"/>
      <c r="S85" s="932"/>
      <c r="T85" s="932"/>
      <c r="U85" s="932"/>
      <c r="V85" s="932"/>
      <c r="W85" s="932"/>
      <c r="X85" s="932"/>
      <c r="Y85" s="932"/>
      <c r="Z85" s="932"/>
      <c r="AA85" s="932"/>
      <c r="AB85" s="932"/>
      <c r="AC85" s="932"/>
      <c r="AD85" s="932"/>
      <c r="AE85" s="932"/>
      <c r="AF85" s="932"/>
      <c r="AG85" s="932"/>
      <c r="AH85" s="932"/>
      <c r="AI85" s="933">
        <f>IF(AND(AI86="JA",AI14&gt;=AI16),IF(Eingabeblatt!$D$7="JA",(AI14-AI16)*1.25,AI14-AI16),IF(AND(AI86="JA",Eingabeblatt!$I$10="NEIN"),AI14-AI16,0))</f>
        <v>0</v>
      </c>
      <c r="AJ85" s="1081">
        <f>SUM(E85:AI85)</f>
        <v>0</v>
      </c>
      <c r="AK85" s="990">
        <f>ROUND(B85+D85+AJ85,8)</f>
        <v>0</v>
      </c>
      <c r="AL85" s="141" t="s">
        <v>434</v>
      </c>
      <c r="AM85" s="91"/>
      <c r="AN85" s="113"/>
      <c r="AO85" s="89"/>
      <c r="AP85" s="89"/>
      <c r="AQ85" s="89"/>
      <c r="AR85" s="89"/>
    </row>
    <row r="86" spans="1:44" ht="15" hidden="1" customHeight="1" outlineLevel="1" x14ac:dyDescent="0.2">
      <c r="A86" s="8" t="s">
        <v>424</v>
      </c>
      <c r="B86" s="934"/>
      <c r="C86" s="935" t="s">
        <v>435</v>
      </c>
      <c r="D86" s="936"/>
      <c r="E86" s="937"/>
      <c r="F86" s="938"/>
      <c r="G86" s="938"/>
      <c r="H86" s="938"/>
      <c r="I86" s="938"/>
      <c r="J86" s="938"/>
      <c r="K86" s="938"/>
      <c r="L86" s="938"/>
      <c r="M86" s="938"/>
      <c r="N86" s="938"/>
      <c r="O86" s="938"/>
      <c r="P86" s="938"/>
      <c r="Q86" s="938"/>
      <c r="R86" s="938"/>
      <c r="S86" s="938"/>
      <c r="T86" s="938"/>
      <c r="U86" s="938"/>
      <c r="V86" s="938"/>
      <c r="W86" s="938"/>
      <c r="X86" s="938"/>
      <c r="Y86" s="938"/>
      <c r="Z86" s="938"/>
      <c r="AA86" s="938"/>
      <c r="AB86" s="938"/>
      <c r="AC86" s="938"/>
      <c r="AD86" s="938"/>
      <c r="AE86" s="938"/>
      <c r="AF86" s="938"/>
      <c r="AG86" s="938"/>
      <c r="AH86" s="938"/>
      <c r="AI86" s="939" t="s">
        <v>436</v>
      </c>
      <c r="AK86" s="210"/>
      <c r="AL86" s="141" t="s">
        <v>437</v>
      </c>
      <c r="AM86" s="89"/>
      <c r="AN86" s="113"/>
      <c r="AO86" s="89"/>
      <c r="AP86" s="89"/>
      <c r="AQ86" s="89"/>
      <c r="AR86" s="89"/>
    </row>
    <row r="87" spans="1:44" ht="15" hidden="1" customHeight="1" outlineLevel="1" x14ac:dyDescent="0.2">
      <c r="A87" s="8" t="s">
        <v>424</v>
      </c>
      <c r="B87" s="934"/>
      <c r="C87" s="934" t="str">
        <f>"Zuschlagsber. = " &amp; Eingabeblatt!$D$7</f>
        <v>Zuschlagsber. = NEIN</v>
      </c>
      <c r="D87" s="936"/>
      <c r="E87" s="940"/>
      <c r="F87" s="941"/>
      <c r="G87" s="941"/>
      <c r="H87" s="941"/>
      <c r="I87" s="941"/>
      <c r="J87" s="941"/>
      <c r="K87" s="941"/>
      <c r="L87" s="941"/>
      <c r="M87" s="941"/>
      <c r="N87" s="941"/>
      <c r="O87" s="941"/>
      <c r="P87" s="941"/>
      <c r="Q87" s="941"/>
      <c r="R87" s="941"/>
      <c r="S87" s="941"/>
      <c r="T87" s="941"/>
      <c r="U87" s="941"/>
      <c r="V87" s="941"/>
      <c r="W87" s="941"/>
      <c r="X87" s="941"/>
      <c r="Y87" s="941"/>
      <c r="Z87" s="941"/>
      <c r="AA87" s="941"/>
      <c r="AB87" s="941"/>
      <c r="AC87" s="941"/>
      <c r="AD87" s="941"/>
      <c r="AE87" s="941"/>
      <c r="AF87" s="941"/>
      <c r="AG87" s="941"/>
      <c r="AH87" s="941"/>
      <c r="AI87" s="942"/>
      <c r="AK87" s="210"/>
      <c r="AL87" s="113"/>
      <c r="AM87" s="113"/>
      <c r="AN87" s="113"/>
      <c r="AO87" s="89"/>
      <c r="AP87" s="89"/>
      <c r="AQ87" s="89"/>
      <c r="AR87" s="89"/>
    </row>
    <row r="88" spans="1:44" hidden="1" outlineLevel="1" collapsed="1" x14ac:dyDescent="0.2">
      <c r="E88" s="323"/>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5"/>
      <c r="AK88" s="211"/>
      <c r="AL88" s="113"/>
      <c r="AM88" s="89"/>
      <c r="AN88" s="113"/>
      <c r="AO88" s="89"/>
      <c r="AP88" s="89"/>
      <c r="AQ88" s="89"/>
      <c r="AR88" s="89"/>
    </row>
    <row r="89" spans="1:44" ht="12.75" hidden="1" customHeight="1" outlineLevel="1" x14ac:dyDescent="0.2">
      <c r="C89" s="212"/>
      <c r="E89" s="326"/>
      <c r="F89" s="324"/>
      <c r="G89" s="324"/>
      <c r="H89" s="324"/>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5"/>
      <c r="AK89" s="210"/>
      <c r="AL89" s="113"/>
      <c r="AM89" s="89"/>
      <c r="AN89" s="89"/>
      <c r="AO89" s="89"/>
      <c r="AP89" s="89"/>
      <c r="AQ89" s="89"/>
      <c r="AR89" s="89"/>
    </row>
    <row r="90" spans="1:44" ht="28.5" hidden="1" customHeight="1" outlineLevel="1" x14ac:dyDescent="0.2">
      <c r="C90" s="213" t="s">
        <v>439</v>
      </c>
      <c r="E90" s="326"/>
      <c r="F90" s="324"/>
      <c r="G90" s="324"/>
      <c r="H90" s="324"/>
      <c r="I90" s="324"/>
      <c r="J90" s="324"/>
      <c r="K90" s="327"/>
      <c r="L90" s="327"/>
      <c r="M90" s="327"/>
      <c r="N90" s="324"/>
      <c r="O90" s="324"/>
      <c r="P90" s="324"/>
      <c r="Q90" s="324"/>
      <c r="R90" s="324"/>
      <c r="S90" s="324"/>
      <c r="T90" s="324"/>
      <c r="U90" s="324"/>
      <c r="V90" s="324"/>
      <c r="W90" s="324"/>
      <c r="X90" s="324"/>
      <c r="Y90" s="324"/>
      <c r="Z90" s="324"/>
      <c r="AA90" s="324"/>
      <c r="AB90" s="324"/>
      <c r="AC90" s="324"/>
      <c r="AD90" s="324"/>
      <c r="AE90" s="324"/>
      <c r="AF90" s="324"/>
      <c r="AG90" s="324"/>
      <c r="AH90" s="324"/>
      <c r="AI90" s="325"/>
      <c r="AK90" s="210"/>
      <c r="AL90" s="113"/>
      <c r="AM90" s="89"/>
      <c r="AN90" s="89"/>
      <c r="AO90" s="89"/>
      <c r="AP90" s="89"/>
      <c r="AQ90" s="89"/>
      <c r="AR90" s="89"/>
    </row>
    <row r="91" spans="1:44" ht="28.5" hidden="1" customHeight="1" outlineLevel="1" thickBot="1" x14ac:dyDescent="0.3">
      <c r="C91" s="214" t="s">
        <v>440</v>
      </c>
      <c r="D91" s="215"/>
      <c r="E91" s="236"/>
      <c r="F91" s="327"/>
      <c r="G91" s="327"/>
      <c r="H91" s="327"/>
      <c r="I91" s="327"/>
      <c r="J91" s="327"/>
      <c r="K91" s="327"/>
      <c r="L91" s="327"/>
      <c r="M91" s="327"/>
      <c r="N91" s="327"/>
      <c r="O91" s="327"/>
      <c r="P91" s="327"/>
      <c r="Q91" s="327"/>
      <c r="R91" s="327"/>
      <c r="S91" s="327"/>
      <c r="T91" s="327"/>
      <c r="U91" s="328"/>
      <c r="V91" s="327"/>
      <c r="W91" s="327"/>
      <c r="X91" s="327"/>
      <c r="Y91" s="327"/>
      <c r="Z91" s="327"/>
      <c r="AA91" s="327"/>
      <c r="AB91" s="327"/>
      <c r="AC91" s="327"/>
      <c r="AD91" s="327"/>
      <c r="AE91" s="327"/>
      <c r="AF91" s="328"/>
      <c r="AG91" s="327"/>
      <c r="AH91" s="943"/>
      <c r="AI91" s="329"/>
      <c r="AJ91" s="88"/>
      <c r="AK91" s="216"/>
      <c r="AL91" s="113"/>
      <c r="AM91" s="89"/>
      <c r="AN91" s="89"/>
      <c r="AO91" s="89"/>
      <c r="AP91" s="89"/>
      <c r="AQ91" s="89"/>
      <c r="AR91" s="89"/>
    </row>
    <row r="92" spans="1:44" ht="28.5" hidden="1" customHeight="1" outlineLevel="1" thickBot="1" x14ac:dyDescent="0.25">
      <c r="C92" s="217" t="s">
        <v>443</v>
      </c>
      <c r="E92" s="326"/>
      <c r="F92" s="324"/>
      <c r="G92" s="324"/>
      <c r="H92" s="324"/>
      <c r="I92" s="330"/>
      <c r="J92" s="324"/>
      <c r="K92" s="327"/>
      <c r="L92" s="327"/>
      <c r="M92" s="327"/>
      <c r="N92" s="324"/>
      <c r="O92" s="324"/>
      <c r="P92" s="324"/>
      <c r="Q92" s="324"/>
      <c r="R92" s="324"/>
      <c r="S92" s="324"/>
      <c r="T92" s="324"/>
      <c r="U92" s="324"/>
      <c r="V92" s="324"/>
      <c r="W92" s="324"/>
      <c r="X92" s="324"/>
      <c r="Y92" s="324"/>
      <c r="Z92" s="324"/>
      <c r="AA92" s="324"/>
      <c r="AB92" s="324"/>
      <c r="AC92" s="324"/>
      <c r="AD92" s="324"/>
      <c r="AE92" s="324"/>
      <c r="AF92" s="324"/>
      <c r="AG92" s="324"/>
      <c r="AH92" s="324"/>
      <c r="AI92" s="325"/>
      <c r="AK92" s="210"/>
      <c r="AL92" s="113"/>
      <c r="AM92" s="89"/>
      <c r="AN92" s="89"/>
      <c r="AO92" s="89"/>
      <c r="AP92" s="89"/>
      <c r="AQ92" s="89"/>
      <c r="AR92" s="89"/>
    </row>
    <row r="93" spans="1:44" ht="28.5" hidden="1" customHeight="1" outlineLevel="1" x14ac:dyDescent="0.2">
      <c r="C93" s="217"/>
      <c r="E93" s="326"/>
      <c r="F93" s="324"/>
      <c r="G93" s="324"/>
      <c r="H93" s="324"/>
      <c r="I93" s="324"/>
      <c r="J93" s="324"/>
      <c r="K93" s="327"/>
      <c r="L93" s="327"/>
      <c r="M93" s="327"/>
      <c r="N93" s="324"/>
      <c r="O93" s="324"/>
      <c r="P93" s="324"/>
      <c r="Q93" s="324"/>
      <c r="R93" s="324"/>
      <c r="S93" s="324"/>
      <c r="T93" s="324"/>
      <c r="U93" s="324"/>
      <c r="V93" s="324"/>
      <c r="W93" s="324"/>
      <c r="X93" s="324"/>
      <c r="Y93" s="324"/>
      <c r="Z93" s="324"/>
      <c r="AA93" s="324"/>
      <c r="AB93" s="324"/>
      <c r="AC93" s="324"/>
      <c r="AD93" s="324"/>
      <c r="AE93" s="324"/>
      <c r="AF93" s="324"/>
      <c r="AG93" s="324"/>
      <c r="AH93" s="324"/>
      <c r="AI93" s="325"/>
      <c r="AK93" s="210"/>
      <c r="AL93" s="113"/>
      <c r="AM93" s="89"/>
      <c r="AN93" s="89"/>
      <c r="AO93" s="89"/>
      <c r="AP93" s="89"/>
      <c r="AQ93" s="89"/>
      <c r="AR93" s="89"/>
    </row>
    <row r="94" spans="1:44" collapsed="1" x14ac:dyDescent="0.2">
      <c r="A94" s="165"/>
      <c r="B94" s="185"/>
      <c r="C94" s="340" t="str">
        <f>IF(ctArbeitsgebiete!H20&lt;&gt;"",ctArbeitsgebiete!H20,"")</f>
        <v/>
      </c>
      <c r="D94" s="334"/>
      <c r="E94" s="944"/>
      <c r="F94" s="945"/>
      <c r="G94" s="945"/>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6"/>
      <c r="AJ94" s="1082">
        <f>SUM(E94:AI94)</f>
        <v>0</v>
      </c>
      <c r="AK94" s="152"/>
      <c r="AL94" s="113"/>
      <c r="AM94" s="89"/>
      <c r="AN94" s="89"/>
      <c r="AO94" s="89"/>
      <c r="AP94" s="89"/>
      <c r="AQ94" s="89"/>
      <c r="AR94" s="89"/>
    </row>
    <row r="95" spans="1:44" x14ac:dyDescent="0.2">
      <c r="A95" s="165"/>
      <c r="B95" s="185"/>
      <c r="C95" s="340" t="str">
        <f>IF(ctArbeitsgebiete!H21&lt;&gt;"",ctArbeitsgebiete!H21,"")</f>
        <v/>
      </c>
      <c r="D95" s="334"/>
      <c r="E95" s="944"/>
      <c r="F95" s="945"/>
      <c r="G95" s="945"/>
      <c r="H95" s="945"/>
      <c r="I95" s="945"/>
      <c r="J95" s="945"/>
      <c r="K95" s="945"/>
      <c r="L95" s="945"/>
      <c r="M95" s="945"/>
      <c r="N95" s="945"/>
      <c r="O95" s="945"/>
      <c r="P95" s="945"/>
      <c r="Q95" s="945"/>
      <c r="R95" s="945"/>
      <c r="S95" s="945"/>
      <c r="T95" s="945"/>
      <c r="U95" s="945"/>
      <c r="V95" s="945"/>
      <c r="W95" s="945"/>
      <c r="X95" s="945"/>
      <c r="Y95" s="945"/>
      <c r="Z95" s="945"/>
      <c r="AA95" s="945"/>
      <c r="AB95" s="945"/>
      <c r="AC95" s="945"/>
      <c r="AD95" s="945"/>
      <c r="AE95" s="945"/>
      <c r="AF95" s="945"/>
      <c r="AG95" s="945"/>
      <c r="AH95" s="945"/>
      <c r="AI95" s="946"/>
      <c r="AJ95" s="338">
        <f t="shared" ref="AJ95:AJ105" si="15">SUM(E95:AI95)</f>
        <v>0</v>
      </c>
      <c r="AK95" s="152"/>
      <c r="AL95" s="113"/>
      <c r="AM95" s="89"/>
      <c r="AN95" s="89"/>
      <c r="AO95" s="89"/>
      <c r="AP95" s="89"/>
      <c r="AQ95" s="89"/>
      <c r="AR95" s="89"/>
    </row>
    <row r="96" spans="1:44" x14ac:dyDescent="0.2">
      <c r="A96" s="165"/>
      <c r="B96" s="185"/>
      <c r="C96" s="340" t="str">
        <f>IF(ctArbeitsgebiete!H22&lt;&gt;"",ctArbeitsgebiete!H22,"")</f>
        <v/>
      </c>
      <c r="D96" s="334"/>
      <c r="E96" s="944"/>
      <c r="F96" s="945"/>
      <c r="G96" s="945"/>
      <c r="H96" s="945"/>
      <c r="I96" s="945"/>
      <c r="J96" s="945"/>
      <c r="K96" s="945"/>
      <c r="L96" s="945"/>
      <c r="M96" s="945"/>
      <c r="N96" s="945"/>
      <c r="O96" s="945"/>
      <c r="P96" s="945"/>
      <c r="Q96" s="945"/>
      <c r="R96" s="945"/>
      <c r="S96" s="945"/>
      <c r="T96" s="945"/>
      <c r="U96" s="945"/>
      <c r="V96" s="945"/>
      <c r="W96" s="945"/>
      <c r="X96" s="945"/>
      <c r="Y96" s="945"/>
      <c r="Z96" s="945"/>
      <c r="AA96" s="945"/>
      <c r="AB96" s="945"/>
      <c r="AC96" s="945"/>
      <c r="AD96" s="945"/>
      <c r="AE96" s="945"/>
      <c r="AF96" s="945"/>
      <c r="AG96" s="945"/>
      <c r="AH96" s="945"/>
      <c r="AI96" s="946"/>
      <c r="AJ96" s="338">
        <f t="shared" si="15"/>
        <v>0</v>
      </c>
      <c r="AK96" s="152"/>
      <c r="AL96" s="113"/>
      <c r="AM96" s="89"/>
      <c r="AN96" s="89"/>
      <c r="AO96" s="89"/>
      <c r="AP96" s="89"/>
      <c r="AQ96" s="89"/>
      <c r="AR96" s="89"/>
    </row>
    <row r="97" spans="1:44" x14ac:dyDescent="0.2">
      <c r="A97" s="165"/>
      <c r="B97" s="185"/>
      <c r="C97" s="340" t="str">
        <f>IF(ctArbeitsgebiete!H23&lt;&gt;"",ctArbeitsgebiete!H23,"")</f>
        <v/>
      </c>
      <c r="D97" s="334"/>
      <c r="E97" s="944"/>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6"/>
      <c r="AJ97" s="338">
        <f t="shared" si="15"/>
        <v>0</v>
      </c>
      <c r="AK97" s="152"/>
      <c r="AL97" s="113"/>
      <c r="AM97" s="89"/>
      <c r="AN97" s="89"/>
      <c r="AO97" s="89"/>
      <c r="AP97" s="89"/>
      <c r="AQ97" s="89"/>
      <c r="AR97" s="89"/>
    </row>
    <row r="98" spans="1:44" x14ac:dyDescent="0.2">
      <c r="A98" s="165"/>
      <c r="B98" s="185"/>
      <c r="C98" s="340" t="str">
        <f>IF(ctArbeitsgebiete!H24&lt;&gt;"",ctArbeitsgebiete!H24,"")</f>
        <v/>
      </c>
      <c r="D98" s="334"/>
      <c r="E98" s="944"/>
      <c r="F98" s="945"/>
      <c r="G98" s="945"/>
      <c r="H98" s="945"/>
      <c r="I98" s="945"/>
      <c r="J98" s="945"/>
      <c r="K98" s="945"/>
      <c r="L98" s="945"/>
      <c r="M98" s="945"/>
      <c r="N98" s="945"/>
      <c r="O98" s="945"/>
      <c r="P98" s="945"/>
      <c r="Q98" s="945"/>
      <c r="R98" s="945"/>
      <c r="S98" s="945"/>
      <c r="T98" s="945"/>
      <c r="U98" s="945"/>
      <c r="V98" s="945"/>
      <c r="W98" s="945"/>
      <c r="X98" s="945"/>
      <c r="Y98" s="945"/>
      <c r="Z98" s="945"/>
      <c r="AA98" s="945"/>
      <c r="AB98" s="945"/>
      <c r="AC98" s="945"/>
      <c r="AD98" s="945"/>
      <c r="AE98" s="945"/>
      <c r="AF98" s="945"/>
      <c r="AG98" s="945"/>
      <c r="AH98" s="945"/>
      <c r="AI98" s="946"/>
      <c r="AJ98" s="338">
        <f t="shared" si="15"/>
        <v>0</v>
      </c>
      <c r="AK98" s="152"/>
      <c r="AL98" s="113"/>
      <c r="AM98" s="89"/>
      <c r="AN98" s="89"/>
      <c r="AO98" s="89"/>
      <c r="AP98" s="89"/>
      <c r="AQ98" s="89"/>
      <c r="AR98" s="89"/>
    </row>
    <row r="99" spans="1:44" x14ac:dyDescent="0.2">
      <c r="A99" s="165"/>
      <c r="B99" s="185"/>
      <c r="C99" s="340" t="str">
        <f>IF(ctArbeitsgebiete!H25&lt;&gt;"",ctArbeitsgebiete!H25,"")</f>
        <v/>
      </c>
      <c r="D99" s="334"/>
      <c r="E99" s="944"/>
      <c r="F99" s="945"/>
      <c r="G99" s="945"/>
      <c r="H99" s="945"/>
      <c r="I99" s="945"/>
      <c r="J99" s="945"/>
      <c r="K99" s="945"/>
      <c r="L99" s="945"/>
      <c r="M99" s="945"/>
      <c r="N99" s="945"/>
      <c r="O99" s="945"/>
      <c r="P99" s="945"/>
      <c r="Q99" s="945"/>
      <c r="R99" s="945"/>
      <c r="S99" s="945"/>
      <c r="T99" s="945"/>
      <c r="U99" s="945"/>
      <c r="V99" s="945"/>
      <c r="W99" s="945"/>
      <c r="X99" s="945"/>
      <c r="Y99" s="945"/>
      <c r="Z99" s="945"/>
      <c r="AA99" s="945"/>
      <c r="AB99" s="945"/>
      <c r="AC99" s="945"/>
      <c r="AD99" s="945"/>
      <c r="AE99" s="945"/>
      <c r="AF99" s="945"/>
      <c r="AG99" s="945"/>
      <c r="AH99" s="945"/>
      <c r="AI99" s="946"/>
      <c r="AJ99" s="338">
        <f t="shared" si="15"/>
        <v>0</v>
      </c>
      <c r="AK99" s="152"/>
      <c r="AL99" s="113"/>
      <c r="AM99" s="89"/>
      <c r="AN99" s="89"/>
      <c r="AO99" s="89"/>
      <c r="AP99" s="89"/>
      <c r="AQ99" s="89"/>
      <c r="AR99" s="89"/>
    </row>
    <row r="100" spans="1:44" x14ac:dyDescent="0.2">
      <c r="A100" s="165"/>
      <c r="B100" s="185"/>
      <c r="C100" s="340" t="str">
        <f>IF(ctArbeitsgebiete!H26&lt;&gt;"",ctArbeitsgebiete!H26,"")</f>
        <v/>
      </c>
      <c r="D100" s="334"/>
      <c r="E100" s="944"/>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B100" s="945"/>
      <c r="AC100" s="945"/>
      <c r="AD100" s="945"/>
      <c r="AE100" s="945"/>
      <c r="AF100" s="945"/>
      <c r="AG100" s="945"/>
      <c r="AH100" s="945"/>
      <c r="AI100" s="946"/>
      <c r="AJ100" s="338">
        <f t="shared" si="15"/>
        <v>0</v>
      </c>
      <c r="AK100" s="152"/>
      <c r="AL100" s="113"/>
      <c r="AM100" s="89"/>
      <c r="AN100" s="89"/>
      <c r="AO100" s="89"/>
      <c r="AP100" s="89"/>
      <c r="AQ100" s="89"/>
      <c r="AR100" s="89"/>
    </row>
    <row r="101" spans="1:44" x14ac:dyDescent="0.2">
      <c r="A101" s="165"/>
      <c r="B101" s="185"/>
      <c r="C101" s="345" t="str">
        <f>IF(ctArbeitsgebiete!H27&lt;&gt;"",ctArbeitsgebiete!H27,"")</f>
        <v/>
      </c>
      <c r="D101" s="346"/>
      <c r="E101" s="947"/>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9"/>
      <c r="AJ101" s="347">
        <f t="shared" si="15"/>
        <v>0</v>
      </c>
      <c r="AK101" s="152"/>
      <c r="AL101" s="113"/>
      <c r="AM101" s="89"/>
      <c r="AN101" s="89"/>
      <c r="AO101" s="89"/>
      <c r="AP101" s="89"/>
      <c r="AQ101" s="89"/>
      <c r="AR101" s="89"/>
    </row>
    <row r="102" spans="1:44" x14ac:dyDescent="0.2">
      <c r="A102" s="165"/>
      <c r="B102" s="185"/>
      <c r="C102" s="992" t="str">
        <f>IF(ctArbeitsgebiete!E24&lt;&gt;"",ctArbeitsgebiete!E24,"")</f>
        <v/>
      </c>
      <c r="D102" s="1083"/>
      <c r="E102" s="1084"/>
      <c r="F102" s="1085"/>
      <c r="G102" s="1085"/>
      <c r="H102" s="1085"/>
      <c r="I102" s="1085"/>
      <c r="J102" s="1085"/>
      <c r="K102" s="1085"/>
      <c r="L102" s="1085"/>
      <c r="M102" s="1085"/>
      <c r="N102" s="1085"/>
      <c r="O102" s="1085"/>
      <c r="P102" s="1085"/>
      <c r="Q102" s="1085"/>
      <c r="R102" s="1085"/>
      <c r="S102" s="1085"/>
      <c r="T102" s="1085"/>
      <c r="U102" s="1085"/>
      <c r="V102" s="1085"/>
      <c r="W102" s="1085"/>
      <c r="X102" s="1085"/>
      <c r="Y102" s="1085"/>
      <c r="Z102" s="1085"/>
      <c r="AA102" s="1085"/>
      <c r="AB102" s="1085"/>
      <c r="AC102" s="1085"/>
      <c r="AD102" s="1085"/>
      <c r="AE102" s="1085"/>
      <c r="AF102" s="1085"/>
      <c r="AG102" s="1085"/>
      <c r="AH102" s="1085"/>
      <c r="AI102" s="1086"/>
      <c r="AJ102" s="1087">
        <f t="shared" si="15"/>
        <v>0</v>
      </c>
      <c r="AK102" s="152"/>
      <c r="AL102" s="113"/>
      <c r="AM102" s="89"/>
      <c r="AN102" s="89"/>
      <c r="AO102" s="89"/>
      <c r="AP102" s="89"/>
      <c r="AQ102" s="89"/>
      <c r="AR102" s="89"/>
    </row>
    <row r="103" spans="1:44" x14ac:dyDescent="0.2">
      <c r="A103" s="165"/>
      <c r="B103" s="185"/>
      <c r="C103" s="342" t="str">
        <f>IF(ctArbeitsgebiete!E25&lt;&gt;"",ctArbeitsgebiete!E25,"")</f>
        <v/>
      </c>
      <c r="D103" s="341"/>
      <c r="E103" s="944"/>
      <c r="F103" s="945"/>
      <c r="G103" s="945"/>
      <c r="H103" s="945"/>
      <c r="I103" s="945"/>
      <c r="J103" s="945"/>
      <c r="K103" s="945"/>
      <c r="L103" s="945"/>
      <c r="M103" s="945"/>
      <c r="N103" s="945"/>
      <c r="O103" s="945"/>
      <c r="P103" s="945"/>
      <c r="Q103" s="945"/>
      <c r="R103" s="945"/>
      <c r="S103" s="945"/>
      <c r="T103" s="945"/>
      <c r="U103" s="945"/>
      <c r="V103" s="945"/>
      <c r="W103" s="945"/>
      <c r="X103" s="945"/>
      <c r="Y103" s="945"/>
      <c r="Z103" s="945"/>
      <c r="AA103" s="945"/>
      <c r="AB103" s="945"/>
      <c r="AC103" s="945"/>
      <c r="AD103" s="945"/>
      <c r="AE103" s="945"/>
      <c r="AF103" s="945"/>
      <c r="AG103" s="945"/>
      <c r="AH103" s="945"/>
      <c r="AI103" s="946"/>
      <c r="AJ103" s="343">
        <f t="shared" si="15"/>
        <v>0</v>
      </c>
      <c r="AK103" s="152"/>
      <c r="AL103" s="113"/>
      <c r="AM103" s="89"/>
      <c r="AN103" s="89"/>
      <c r="AO103" s="89"/>
      <c r="AP103" s="89"/>
      <c r="AQ103" s="89"/>
      <c r="AR103" s="89"/>
    </row>
    <row r="104" spans="1:44" x14ac:dyDescent="0.2">
      <c r="A104" s="165"/>
      <c r="B104" s="185"/>
      <c r="C104" s="342" t="str">
        <f>IF(ctArbeitsgebiete!E26&lt;&gt;"",ctArbeitsgebiete!E26,"")</f>
        <v/>
      </c>
      <c r="D104" s="341"/>
      <c r="E104" s="944"/>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B104" s="945"/>
      <c r="AC104" s="945"/>
      <c r="AD104" s="945"/>
      <c r="AE104" s="945"/>
      <c r="AF104" s="945"/>
      <c r="AG104" s="945"/>
      <c r="AH104" s="945"/>
      <c r="AI104" s="946"/>
      <c r="AJ104" s="343">
        <f t="shared" si="15"/>
        <v>0</v>
      </c>
      <c r="AK104" s="152"/>
      <c r="AL104" s="113"/>
      <c r="AM104" s="89"/>
      <c r="AN104" s="89"/>
      <c r="AO104" s="89"/>
      <c r="AP104" s="89"/>
      <c r="AQ104" s="89"/>
      <c r="AR104" s="89"/>
    </row>
    <row r="105" spans="1:44" ht="13.5" thickBot="1" x14ac:dyDescent="0.25">
      <c r="A105" s="165"/>
      <c r="B105" s="185"/>
      <c r="C105" s="342" t="str">
        <f>IF(ctArbeitsgebiete!E27&lt;&gt;"",ctArbeitsgebiete!E27,"")</f>
        <v/>
      </c>
      <c r="D105" s="341"/>
      <c r="E105" s="950"/>
      <c r="F105" s="951"/>
      <c r="G105" s="951"/>
      <c r="H105" s="951"/>
      <c r="I105" s="951"/>
      <c r="J105" s="951"/>
      <c r="K105" s="951"/>
      <c r="L105" s="951"/>
      <c r="M105" s="951"/>
      <c r="N105" s="951"/>
      <c r="O105" s="951"/>
      <c r="P105" s="951"/>
      <c r="Q105" s="951"/>
      <c r="R105" s="951"/>
      <c r="S105" s="951"/>
      <c r="T105" s="951"/>
      <c r="U105" s="951"/>
      <c r="V105" s="951"/>
      <c r="W105" s="951"/>
      <c r="X105" s="951"/>
      <c r="Y105" s="951"/>
      <c r="Z105" s="951"/>
      <c r="AA105" s="951"/>
      <c r="AB105" s="951"/>
      <c r="AC105" s="951"/>
      <c r="AD105" s="951"/>
      <c r="AE105" s="951"/>
      <c r="AF105" s="951"/>
      <c r="AG105" s="951"/>
      <c r="AH105" s="951"/>
      <c r="AI105" s="952"/>
      <c r="AJ105" s="344">
        <f t="shared" si="15"/>
        <v>0</v>
      </c>
      <c r="AK105" s="152"/>
      <c r="AL105" s="113"/>
      <c r="AM105" s="89"/>
      <c r="AN105" s="89"/>
      <c r="AO105" s="89"/>
      <c r="AP105" s="89"/>
      <c r="AQ105" s="89"/>
      <c r="AR105" s="89"/>
    </row>
    <row r="106" spans="1:44" s="218" customFormat="1" ht="63.75" collapsed="1" x14ac:dyDescent="0.2">
      <c r="C106" s="219" t="s">
        <v>444</v>
      </c>
      <c r="D106" s="220"/>
      <c r="E106" s="335"/>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6"/>
      <c r="AF106" s="336"/>
      <c r="AG106" s="336"/>
      <c r="AH106" s="336"/>
      <c r="AI106" s="337"/>
      <c r="AJ106" s="339">
        <f>SUM(E106:AI106)</f>
        <v>0</v>
      </c>
      <c r="AL106" s="222"/>
    </row>
  </sheetData>
  <sheetProtection algorithmName="SHA-512" hashValue="4bdUFmyzMx7azAgFdkJS9CZgjXVW5uSyVCV/STfKa5AF0L8BX6GUhKrKMiWADwMrfRctyZlG7uOboVVcnF8IvQ==" saltValue="HZcdRtkU3egU66Lc4mB/Ew==" spinCount="100000" sheet="1" selectLockedCells="1"/>
  <mergeCells count="1">
    <mergeCell ref="D3:D4"/>
  </mergeCells>
  <phoneticPr fontId="9" type="noConversion"/>
  <conditionalFormatting sqref="E3:AH4">
    <cfRule type="expression" dxfId="196" priority="94" stopIfTrue="1">
      <formula>WEEKDAY(E$3,2)=7</formula>
    </cfRule>
  </conditionalFormatting>
  <conditionalFormatting sqref="E7:AH7">
    <cfRule type="expression" dxfId="195" priority="1" stopIfTrue="1">
      <formula>WEEKDAY(E$3,2)=6</formula>
    </cfRule>
    <cfRule type="expression" dxfId="194" priority="2" stopIfTrue="1">
      <formula>WEEKDAY(E$3,2)=7</formula>
    </cfRule>
  </conditionalFormatting>
  <conditionalFormatting sqref="E8:AH8 E10:AH10 E12:AH12">
    <cfRule type="expression" dxfId="193" priority="91" stopIfTrue="1">
      <formula>WEEKDAY(E$3,2)=6</formula>
    </cfRule>
    <cfRule type="expression" dxfId="192" priority="92" stopIfTrue="1">
      <formula>WEEKDAY(E$3,2)=7</formula>
    </cfRule>
  </conditionalFormatting>
  <conditionalFormatting sqref="E9:AH9 E11:AH11">
    <cfRule type="expression" dxfId="191" priority="89" stopIfTrue="1">
      <formula>WEEKDAY(E$3,2)=6</formula>
    </cfRule>
    <cfRule type="expression" dxfId="190" priority="90" stopIfTrue="1">
      <formula>WEEKDAY(E$3,2)=7</formula>
    </cfRule>
  </conditionalFormatting>
  <conditionalFormatting sqref="E3:AI4">
    <cfRule type="expression" dxfId="189" priority="93" stopIfTrue="1">
      <formula>WEEKDAY(E$3,2)=6</formula>
    </cfRule>
  </conditionalFormatting>
  <conditionalFormatting sqref="E13:AI18">
    <cfRule type="expression" dxfId="188" priority="95" stopIfTrue="1">
      <formula>WEEKDAY(E$3,2)=6</formula>
    </cfRule>
    <cfRule type="expression" dxfId="187" priority="96" stopIfTrue="1">
      <formula>WEEKDAY(E$3,2)=7</formula>
    </cfRule>
  </conditionalFormatting>
  <conditionalFormatting sqref="E19:AI19">
    <cfRule type="expression" dxfId="186" priority="97" stopIfTrue="1">
      <formula>WEEKDAY(E$3,2)=6</formula>
    </cfRule>
    <cfRule type="expression" dxfId="185" priority="98" stopIfTrue="1">
      <formula>WEEKDAY(E$3,2)=7</formula>
    </cfRule>
  </conditionalFormatting>
  <conditionalFormatting sqref="E20:AI20 E39:AI39">
    <cfRule type="expression" dxfId="184" priority="85" stopIfTrue="1">
      <formula>WEEKDAY(E$3,2)=6</formula>
    </cfRule>
    <cfRule type="expression" dxfId="183" priority="86" stopIfTrue="1">
      <formula>WEEKDAY(E$3,2)=7</formula>
    </cfRule>
  </conditionalFormatting>
  <conditionalFormatting sqref="E21:AI21 E33:AI38">
    <cfRule type="expression" dxfId="182" priority="83" stopIfTrue="1">
      <formula>WEEKDAY(E$3,2)=6</formula>
    </cfRule>
    <cfRule type="expression" dxfId="181" priority="84" stopIfTrue="1">
      <formula>WEEKDAY(E$3,2)=7</formula>
    </cfRule>
  </conditionalFormatting>
  <conditionalFormatting sqref="E22:AI32 E41:AI85 E94:AI106">
    <cfRule type="expression" dxfId="180" priority="87" stopIfTrue="1">
      <formula>WEEKDAY(E$3,2)=6</formula>
    </cfRule>
    <cfRule type="expression" dxfId="179" priority="88" stopIfTrue="1">
      <formula>WEEKDAY(E$3,2)=7</formula>
    </cfRule>
  </conditionalFormatting>
  <conditionalFormatting sqref="E40:AI40">
    <cfRule type="cellIs" dxfId="178" priority="99" stopIfTrue="1" operator="notEqual">
      <formula>0</formula>
    </cfRule>
    <cfRule type="expression" dxfId="177" priority="100" stopIfTrue="1">
      <formula>WEEKDAY(E$3,2)=6</formula>
    </cfRule>
    <cfRule type="expression" dxfId="176" priority="101" stopIfTrue="1">
      <formula>WEEKDAY(E$3,2)=7</formula>
    </cfRule>
  </conditionalFormatting>
  <conditionalFormatting sqref="AI3:AI4">
    <cfRule type="expression" dxfId="175" priority="105" stopIfTrue="1">
      <formula>WEEKDAY(AI$3,2)=7</formula>
    </cfRule>
  </conditionalFormatting>
  <conditionalFormatting sqref="AI7:AI12">
    <cfRule type="expression" dxfId="174" priority="35" stopIfTrue="1">
      <formula>WEEKDAY(AI$3,2)=6</formula>
    </cfRule>
    <cfRule type="expression" dxfId="173" priority="36" stopIfTrue="1">
      <formula>WEEKDAY(AI$3,2)=7</formula>
    </cfRule>
  </conditionalFormatting>
  <printOptions horizontalCentered="1" verticalCentered="1"/>
  <pageMargins left="0.19685039370078741" right="0.19685039370078741" top="0.39370078740157483" bottom="0.19685039370078741" header="0.31496062992125984" footer="0.19685039370078741"/>
  <pageSetup paperSize="9" scale="53" orientation="landscape"/>
  <headerFooter>
    <oddHeader>&amp;C&amp;12Monatsabrechnung   &amp;A</oddHead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pageSetUpPr fitToPage="1"/>
  </sheetPr>
  <dimension ref="A1:AT106"/>
  <sheetViews>
    <sheetView showGridLines="0" showRowColHeaders="0" showZeros="0" showOutlineSymbols="0" topLeftCell="C2" zoomScale="80" zoomScaleNormal="80" workbookViewId="0">
      <pane xSplit="2" ySplit="39" topLeftCell="E41" activePane="bottomRight" state="frozen"/>
      <selection pane="topRight"/>
      <selection pane="bottomLeft"/>
      <selection pane="bottomRight" activeCell="E7" sqref="E7"/>
    </sheetView>
  </sheetViews>
  <sheetFormatPr baseColWidth="10" defaultColWidth="11.42578125" defaultRowHeight="12.75" outlineLevelRow="2" outlineLevelCol="1" x14ac:dyDescent="0.2"/>
  <cols>
    <col min="1" max="1" width="11.42578125" style="8" hidden="1" customWidth="1" outlineLevel="1"/>
    <col min="2" max="2" width="8.42578125" style="13" hidden="1" customWidth="1" outlineLevel="1"/>
    <col min="3" max="3" width="22.42578125" style="87" customWidth="1" collapsed="1"/>
    <col min="4" max="4" width="7.85546875" style="13" customWidth="1"/>
    <col min="5" max="35" width="7.42578125" style="13" customWidth="1"/>
    <col min="36" max="36" width="7.42578125" style="209" customWidth="1"/>
    <col min="37" max="37" width="7.7109375" style="13" hidden="1" customWidth="1" outlineLevel="1"/>
    <col min="38" max="38" width="15.7109375" style="182" hidden="1" customWidth="1" outlineLevel="1"/>
    <col min="39" max="40" width="11.42578125" style="8" hidden="1" customWidth="1" outlineLevel="1"/>
    <col min="41" max="41" width="26.7109375" style="8" hidden="1" customWidth="1" outlineLevel="1"/>
    <col min="42" max="44" width="11.42578125" style="8" hidden="1" customWidth="1" outlineLevel="1"/>
    <col min="45" max="45" width="11.42578125" style="8" collapsed="1"/>
    <col min="46" max="16384" width="11.42578125" style="8"/>
  </cols>
  <sheetData>
    <row r="1" spans="2:46" ht="30" hidden="1" customHeight="1" outlineLevel="1" thickBot="1" x14ac:dyDescent="0.25">
      <c r="AF1" s="8"/>
      <c r="AJ1" s="88"/>
      <c r="AK1" s="89"/>
      <c r="AL1" s="90" t="s">
        <v>406</v>
      </c>
      <c r="AM1" s="91" t="s">
        <v>407</v>
      </c>
      <c r="AN1" s="89"/>
      <c r="AO1" s="89"/>
      <c r="AP1" s="89"/>
      <c r="AQ1" s="89"/>
      <c r="AR1" s="89"/>
    </row>
    <row r="2" spans="2:46" ht="30" customHeight="1" collapsed="1" thickBot="1" x14ac:dyDescent="0.25">
      <c r="C2" s="92">
        <f>DATEVALUE("1.6."&amp;YEAR(ctPersonalangaben!H12))</f>
        <v>44712</v>
      </c>
      <c r="D2" s="93">
        <f>YEAR(ctPersonalangaben!H12)</f>
        <v>2026</v>
      </c>
      <c r="E2" s="897" t="str">
        <f>CONCATENATE("Arbeitszeit-Eingabe von ",Mitarbeiter)</f>
        <v>Arbeitszeit-Eingabe von Max Muster, Musterstelle</v>
      </c>
      <c r="F2" s="6"/>
      <c r="G2" s="6"/>
      <c r="H2" s="6"/>
      <c r="I2" s="94"/>
      <c r="J2" s="6"/>
      <c r="K2" s="6"/>
      <c r="L2" s="6"/>
      <c r="M2" s="6"/>
      <c r="N2" s="6"/>
      <c r="O2" s="6"/>
      <c r="P2" s="6"/>
      <c r="Q2" s="6"/>
      <c r="R2" s="6"/>
      <c r="S2" s="95"/>
      <c r="T2" s="96"/>
      <c r="U2" s="96"/>
      <c r="V2" s="97"/>
      <c r="W2" s="97"/>
      <c r="X2" s="97"/>
      <c r="Y2" s="97"/>
      <c r="Z2" s="97"/>
      <c r="AA2" s="97"/>
      <c r="AB2" s="97"/>
      <c r="AC2" s="97"/>
      <c r="AD2" s="98"/>
      <c r="AE2" s="97"/>
      <c r="AF2" s="99"/>
      <c r="AG2" s="100" t="s">
        <v>408</v>
      </c>
      <c r="AH2" s="99">
        <f>VLOOKUP(DATE($D$2,MONTH($C$2),$E$4),Ferienanspruch,3,TRUE)</f>
        <v>100</v>
      </c>
      <c r="AI2" s="101" t="s">
        <v>106</v>
      </c>
      <c r="AJ2" s="88"/>
      <c r="AK2" s="102"/>
      <c r="AL2" s="91"/>
      <c r="AM2" s="91" t="s">
        <v>409</v>
      </c>
      <c r="AN2" s="89"/>
      <c r="AO2" s="89"/>
      <c r="AP2" s="89"/>
      <c r="AQ2" s="89"/>
      <c r="AR2" s="89"/>
    </row>
    <row r="3" spans="2:46" x14ac:dyDescent="0.2">
      <c r="C3" s="7"/>
      <c r="D3" s="1254" t="s">
        <v>254</v>
      </c>
      <c r="E3" s="226">
        <f t="shared" ref="E3:AF3" si="0">DATE($D$2,MONTH($C$2),E$4)</f>
        <v>44712</v>
      </c>
      <c r="F3" s="103">
        <f t="shared" si="0"/>
        <v>44713</v>
      </c>
      <c r="G3" s="103">
        <f t="shared" si="0"/>
        <v>44714</v>
      </c>
      <c r="H3" s="103">
        <f t="shared" si="0"/>
        <v>44715</v>
      </c>
      <c r="I3" s="226">
        <f t="shared" si="0"/>
        <v>44716</v>
      </c>
      <c r="J3" s="103">
        <f t="shared" si="0"/>
        <v>44717</v>
      </c>
      <c r="K3" s="103">
        <f t="shared" si="0"/>
        <v>44718</v>
      </c>
      <c r="L3" s="103">
        <f t="shared" si="0"/>
        <v>44719</v>
      </c>
      <c r="M3" s="103">
        <f t="shared" si="0"/>
        <v>44720</v>
      </c>
      <c r="N3" s="103">
        <f t="shared" si="0"/>
        <v>44721</v>
      </c>
      <c r="O3" s="103">
        <f t="shared" si="0"/>
        <v>44722</v>
      </c>
      <c r="P3" s="103">
        <f t="shared" si="0"/>
        <v>44723</v>
      </c>
      <c r="Q3" s="103">
        <f t="shared" si="0"/>
        <v>44724</v>
      </c>
      <c r="R3" s="103">
        <f t="shared" si="0"/>
        <v>44725</v>
      </c>
      <c r="S3" s="103">
        <f t="shared" si="0"/>
        <v>44726</v>
      </c>
      <c r="T3" s="103">
        <f t="shared" si="0"/>
        <v>44727</v>
      </c>
      <c r="U3" s="103">
        <f t="shared" si="0"/>
        <v>44728</v>
      </c>
      <c r="V3" s="103">
        <f t="shared" si="0"/>
        <v>44729</v>
      </c>
      <c r="W3" s="103">
        <f t="shared" si="0"/>
        <v>44730</v>
      </c>
      <c r="X3" s="103">
        <f t="shared" si="0"/>
        <v>44731</v>
      </c>
      <c r="Y3" s="103">
        <f t="shared" si="0"/>
        <v>44732</v>
      </c>
      <c r="Z3" s="103">
        <f t="shared" si="0"/>
        <v>44733</v>
      </c>
      <c r="AA3" s="103">
        <f t="shared" si="0"/>
        <v>44734</v>
      </c>
      <c r="AB3" s="103">
        <f t="shared" si="0"/>
        <v>44735</v>
      </c>
      <c r="AC3" s="103">
        <f t="shared" si="0"/>
        <v>44736</v>
      </c>
      <c r="AD3" s="104">
        <f t="shared" si="0"/>
        <v>44737</v>
      </c>
      <c r="AE3" s="104">
        <f t="shared" si="0"/>
        <v>44738</v>
      </c>
      <c r="AF3" s="104">
        <f t="shared" si="0"/>
        <v>44739</v>
      </c>
      <c r="AG3" s="104">
        <f>IF(MONTH($C2+AG$5) = MONTH($C2),DATE($D$2,MONTH($C$2),AG$5+1),"")</f>
        <v>44740</v>
      </c>
      <c r="AH3" s="104">
        <f>IF(MONTH($C2+AH$5) = MONTH($C2),DATE($D$2,MONTH($C$2),AH$5+1),"")</f>
        <v>44741</v>
      </c>
      <c r="AI3" s="105" t="str">
        <f>IF(MONTH($C2+AI$5) = MONTH($C2),DATE($D$2,MONTH($C$2),AI$5+1),"")</f>
        <v/>
      </c>
      <c r="AJ3" s="88"/>
      <c r="AK3" s="106"/>
      <c r="AL3" s="91"/>
      <c r="AM3" s="91"/>
      <c r="AN3" s="89"/>
      <c r="AO3" s="89"/>
      <c r="AP3" s="89"/>
      <c r="AQ3" s="89"/>
      <c r="AR3" s="89"/>
    </row>
    <row r="4" spans="2:46" ht="19.5" customHeight="1" x14ac:dyDescent="0.2">
      <c r="C4" s="13"/>
      <c r="D4" s="1255"/>
      <c r="E4" s="227">
        <v>1</v>
      </c>
      <c r="F4" s="107">
        <v>2</v>
      </c>
      <c r="G4" s="107">
        <v>3</v>
      </c>
      <c r="H4" s="107">
        <v>4</v>
      </c>
      <c r="I4" s="227">
        <v>5</v>
      </c>
      <c r="J4" s="107">
        <v>6</v>
      </c>
      <c r="K4" s="107">
        <v>7</v>
      </c>
      <c r="L4" s="107">
        <v>8</v>
      </c>
      <c r="M4" s="107">
        <v>9</v>
      </c>
      <c r="N4" s="107">
        <v>10</v>
      </c>
      <c r="O4" s="107">
        <v>11</v>
      </c>
      <c r="P4" s="107">
        <v>12</v>
      </c>
      <c r="Q4" s="107">
        <v>13</v>
      </c>
      <c r="R4" s="107">
        <v>14</v>
      </c>
      <c r="S4" s="107">
        <v>15</v>
      </c>
      <c r="T4" s="107">
        <v>16</v>
      </c>
      <c r="U4" s="107">
        <v>17</v>
      </c>
      <c r="V4" s="107">
        <v>18</v>
      </c>
      <c r="W4" s="107">
        <v>19</v>
      </c>
      <c r="X4" s="107">
        <v>20</v>
      </c>
      <c r="Y4" s="107">
        <v>21</v>
      </c>
      <c r="Z4" s="107">
        <v>22</v>
      </c>
      <c r="AA4" s="107">
        <v>23</v>
      </c>
      <c r="AB4" s="107">
        <v>24</v>
      </c>
      <c r="AC4" s="107">
        <v>25</v>
      </c>
      <c r="AD4" s="107">
        <v>26</v>
      </c>
      <c r="AE4" s="107">
        <v>27</v>
      </c>
      <c r="AF4" s="107">
        <v>28</v>
      </c>
      <c r="AG4" s="107">
        <f>IF(MONTH($C2+AG5) = MONTH($C2),AG$5+1,0)</f>
        <v>29</v>
      </c>
      <c r="AH4" s="107">
        <f>IF(MONTH($C2+AH5) = MONTH($C2),AH$5+1,0)</f>
        <v>30</v>
      </c>
      <c r="AI4" s="108">
        <f>IF(MONTH($C2+AI5) = MONTH($C2),AI$5+1,0)</f>
        <v>0</v>
      </c>
      <c r="AJ4" s="88"/>
      <c r="AK4" s="106"/>
      <c r="AL4" s="91"/>
      <c r="AM4" s="91"/>
      <c r="AN4" s="89"/>
      <c r="AO4" s="89"/>
      <c r="AP4" s="89"/>
      <c r="AQ4" s="89"/>
      <c r="AR4" s="89"/>
    </row>
    <row r="5" spans="2:46" ht="19.5" hidden="1" customHeight="1" outlineLevel="1" x14ac:dyDescent="0.2">
      <c r="C5" s="13"/>
      <c r="D5" s="109"/>
      <c r="E5" s="110"/>
      <c r="F5" s="110">
        <v>1</v>
      </c>
      <c r="G5" s="110">
        <v>2</v>
      </c>
      <c r="H5" s="228">
        <v>3</v>
      </c>
      <c r="I5" s="110">
        <v>4</v>
      </c>
      <c r="J5" s="110">
        <v>5</v>
      </c>
      <c r="K5" s="110">
        <v>6</v>
      </c>
      <c r="L5" s="110">
        <v>7</v>
      </c>
      <c r="M5" s="110">
        <v>8</v>
      </c>
      <c r="N5" s="110">
        <v>9</v>
      </c>
      <c r="O5" s="110">
        <v>10</v>
      </c>
      <c r="P5" s="110">
        <v>11</v>
      </c>
      <c r="Q5" s="110">
        <v>12</v>
      </c>
      <c r="R5" s="110">
        <v>13</v>
      </c>
      <c r="S5" s="110">
        <v>14</v>
      </c>
      <c r="T5" s="110">
        <v>15</v>
      </c>
      <c r="U5" s="110">
        <v>16</v>
      </c>
      <c r="V5" s="110">
        <v>17</v>
      </c>
      <c r="W5" s="110">
        <v>18</v>
      </c>
      <c r="X5" s="110">
        <v>19</v>
      </c>
      <c r="Y5" s="110">
        <v>20</v>
      </c>
      <c r="Z5" s="110">
        <v>21</v>
      </c>
      <c r="AA5" s="110">
        <v>22</v>
      </c>
      <c r="AB5" s="110">
        <v>23</v>
      </c>
      <c r="AC5" s="110">
        <v>24</v>
      </c>
      <c r="AD5" s="110">
        <v>25</v>
      </c>
      <c r="AE5" s="110">
        <v>26</v>
      </c>
      <c r="AF5" s="110">
        <v>27</v>
      </c>
      <c r="AG5" s="110">
        <v>28</v>
      </c>
      <c r="AH5" s="110">
        <v>29</v>
      </c>
      <c r="AI5" s="111">
        <v>30</v>
      </c>
      <c r="AJ5" s="88"/>
      <c r="AK5" s="102"/>
      <c r="AL5" s="91"/>
      <c r="AM5" s="91"/>
      <c r="AN5" s="89"/>
      <c r="AO5" s="89"/>
      <c r="AP5" s="89"/>
      <c r="AQ5" s="89"/>
      <c r="AR5" s="89"/>
    </row>
    <row r="6" spans="2:46" ht="19.5" hidden="1" customHeight="1" outlineLevel="1" x14ac:dyDescent="0.2">
      <c r="C6" s="13"/>
      <c r="D6" s="109"/>
      <c r="E6" s="288">
        <f>WEEKDAY(E$3,2)</f>
        <v>1</v>
      </c>
      <c r="F6" s="288">
        <f t="shared" ref="F6:AF6" si="1">WEEKDAY(F$3,2)</f>
        <v>2</v>
      </c>
      <c r="G6" s="288">
        <f t="shared" si="1"/>
        <v>3</v>
      </c>
      <c r="H6" s="898">
        <f t="shared" si="1"/>
        <v>4</v>
      </c>
      <c r="I6" s="288">
        <f t="shared" si="1"/>
        <v>5</v>
      </c>
      <c r="J6" s="288">
        <f t="shared" si="1"/>
        <v>6</v>
      </c>
      <c r="K6" s="288">
        <f t="shared" si="1"/>
        <v>7</v>
      </c>
      <c r="L6" s="288">
        <f t="shared" si="1"/>
        <v>1</v>
      </c>
      <c r="M6" s="288">
        <f t="shared" si="1"/>
        <v>2</v>
      </c>
      <c r="N6" s="288">
        <f t="shared" si="1"/>
        <v>3</v>
      </c>
      <c r="O6" s="288">
        <f t="shared" si="1"/>
        <v>4</v>
      </c>
      <c r="P6" s="288">
        <f t="shared" si="1"/>
        <v>5</v>
      </c>
      <c r="Q6" s="288">
        <f t="shared" si="1"/>
        <v>6</v>
      </c>
      <c r="R6" s="288">
        <f t="shared" si="1"/>
        <v>7</v>
      </c>
      <c r="S6" s="288">
        <f t="shared" si="1"/>
        <v>1</v>
      </c>
      <c r="T6" s="288">
        <f t="shared" si="1"/>
        <v>2</v>
      </c>
      <c r="U6" s="288">
        <f t="shared" si="1"/>
        <v>3</v>
      </c>
      <c r="V6" s="288">
        <f t="shared" si="1"/>
        <v>4</v>
      </c>
      <c r="W6" s="288">
        <f t="shared" si="1"/>
        <v>5</v>
      </c>
      <c r="X6" s="288">
        <f t="shared" si="1"/>
        <v>6</v>
      </c>
      <c r="Y6" s="288">
        <f t="shared" si="1"/>
        <v>7</v>
      </c>
      <c r="Z6" s="288">
        <f t="shared" si="1"/>
        <v>1</v>
      </c>
      <c r="AA6" s="288">
        <f t="shared" si="1"/>
        <v>2</v>
      </c>
      <c r="AB6" s="288">
        <f t="shared" si="1"/>
        <v>3</v>
      </c>
      <c r="AC6" s="288">
        <f t="shared" si="1"/>
        <v>4</v>
      </c>
      <c r="AD6" s="288">
        <f t="shared" si="1"/>
        <v>5</v>
      </c>
      <c r="AE6" s="288">
        <f t="shared" si="1"/>
        <v>6</v>
      </c>
      <c r="AF6" s="288">
        <f t="shared" si="1"/>
        <v>7</v>
      </c>
      <c r="AG6" s="288">
        <f>IF(AG3&lt;&gt;"",WEEKDAY(AG$3,2),"")</f>
        <v>1</v>
      </c>
      <c r="AH6" s="288"/>
      <c r="AI6" s="899"/>
      <c r="AJ6" s="88"/>
      <c r="AK6" s="102"/>
      <c r="AL6" s="91"/>
      <c r="AM6" s="91"/>
      <c r="AN6" s="89"/>
      <c r="AO6" s="89"/>
      <c r="AP6" s="89"/>
      <c r="AQ6" s="89"/>
      <c r="AR6" s="89"/>
    </row>
    <row r="7" spans="2:46" ht="22.5" customHeight="1" collapsed="1" x14ac:dyDescent="0.2">
      <c r="C7" s="8"/>
      <c r="D7" s="112" t="str">
        <f>Januar!D7</f>
        <v>Beginn</v>
      </c>
      <c r="E7" s="1042">
        <v>0</v>
      </c>
      <c r="F7" s="1042">
        <v>0</v>
      </c>
      <c r="G7" s="1042">
        <v>0</v>
      </c>
      <c r="H7" s="1042">
        <v>0</v>
      </c>
      <c r="I7" s="1042">
        <v>0</v>
      </c>
      <c r="J7" s="1042">
        <v>0</v>
      </c>
      <c r="K7" s="1042">
        <v>0</v>
      </c>
      <c r="L7" s="1042">
        <v>0</v>
      </c>
      <c r="M7" s="1042">
        <v>0</v>
      </c>
      <c r="N7" s="1042">
        <v>0</v>
      </c>
      <c r="O7" s="1042">
        <v>0</v>
      </c>
      <c r="P7" s="1042">
        <v>0</v>
      </c>
      <c r="Q7" s="1042">
        <v>0</v>
      </c>
      <c r="R7" s="1042">
        <v>0</v>
      </c>
      <c r="S7" s="1042">
        <v>0</v>
      </c>
      <c r="T7" s="1042">
        <v>0</v>
      </c>
      <c r="U7" s="1042">
        <v>0</v>
      </c>
      <c r="V7" s="1042">
        <v>0</v>
      </c>
      <c r="W7" s="1042">
        <v>0</v>
      </c>
      <c r="X7" s="1042">
        <v>0</v>
      </c>
      <c r="Y7" s="1042">
        <v>0</v>
      </c>
      <c r="Z7" s="1042">
        <v>0</v>
      </c>
      <c r="AA7" s="1042">
        <v>0</v>
      </c>
      <c r="AB7" s="1042">
        <v>0</v>
      </c>
      <c r="AC7" s="1042">
        <v>0</v>
      </c>
      <c r="AD7" s="1042">
        <v>0</v>
      </c>
      <c r="AE7" s="1042">
        <v>0</v>
      </c>
      <c r="AF7" s="1042">
        <v>0</v>
      </c>
      <c r="AG7" s="1042">
        <v>0</v>
      </c>
      <c r="AH7" s="1042">
        <v>0</v>
      </c>
      <c r="AI7" s="1043"/>
      <c r="AJ7" s="88"/>
      <c r="AK7" s="900"/>
      <c r="AL7" s="91"/>
      <c r="AM7" s="91"/>
      <c r="AN7" s="113"/>
      <c r="AO7" s="89"/>
      <c r="AP7" s="89"/>
      <c r="AQ7" s="89"/>
      <c r="AR7" s="89"/>
    </row>
    <row r="8" spans="2:46" ht="22.5" customHeight="1" x14ac:dyDescent="0.2">
      <c r="C8" s="901"/>
      <c r="D8" s="112" t="str">
        <f>Januar!D8</f>
        <v>Ende</v>
      </c>
      <c r="E8" s="235"/>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4"/>
      <c r="AJ8" s="88"/>
      <c r="AK8" s="900"/>
      <c r="AL8" s="91"/>
      <c r="AM8" s="91"/>
      <c r="AN8" s="89"/>
      <c r="AO8" s="89"/>
      <c r="AP8" s="89"/>
      <c r="AQ8" s="89"/>
      <c r="AR8" s="89"/>
    </row>
    <row r="9" spans="2:46" ht="22.5" customHeight="1" x14ac:dyDescent="0.2">
      <c r="C9" s="8"/>
      <c r="D9" s="112" t="str">
        <f>Januar!D9</f>
        <v>Beginn</v>
      </c>
      <c r="E9" s="1041"/>
      <c r="F9" s="1042"/>
      <c r="G9" s="1042"/>
      <c r="H9" s="1042"/>
      <c r="I9" s="1042"/>
      <c r="J9" s="1042"/>
      <c r="K9" s="1042"/>
      <c r="L9" s="1042"/>
      <c r="M9" s="1042"/>
      <c r="N9" s="1042"/>
      <c r="O9" s="1042"/>
      <c r="P9" s="1042"/>
      <c r="Q9" s="1042"/>
      <c r="R9" s="1042"/>
      <c r="S9" s="1042"/>
      <c r="T9" s="1042"/>
      <c r="U9" s="1042"/>
      <c r="V9" s="1042"/>
      <c r="W9" s="1042"/>
      <c r="X9" s="1042"/>
      <c r="Y9" s="1042"/>
      <c r="Z9" s="1042"/>
      <c r="AA9" s="1042"/>
      <c r="AB9" s="1042"/>
      <c r="AC9" s="1042"/>
      <c r="AD9" s="1042"/>
      <c r="AE9" s="1042"/>
      <c r="AF9" s="1042"/>
      <c r="AG9" s="1042"/>
      <c r="AH9" s="1042"/>
      <c r="AI9" s="1043"/>
      <c r="AJ9" s="88"/>
      <c r="AK9" s="900"/>
      <c r="AL9" s="91"/>
      <c r="AM9" s="91"/>
      <c r="AN9" s="89"/>
      <c r="AO9" s="89"/>
      <c r="AP9" s="89"/>
      <c r="AQ9" s="89"/>
      <c r="AR9" s="89"/>
    </row>
    <row r="10" spans="2:46" ht="22.5" customHeight="1" x14ac:dyDescent="0.2">
      <c r="C10" s="901"/>
      <c r="D10" s="112" t="str">
        <f>Januar!D10</f>
        <v>Ende</v>
      </c>
      <c r="E10" s="235"/>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4"/>
      <c r="AJ10" s="88"/>
      <c r="AK10" s="900"/>
      <c r="AL10" s="900"/>
      <c r="AM10" s="114"/>
      <c r="AN10" s="114"/>
      <c r="AO10" s="114"/>
      <c r="AP10" s="89"/>
      <c r="AQ10" s="89"/>
      <c r="AR10" s="89"/>
    </row>
    <row r="11" spans="2:46" ht="22.5" customHeight="1" x14ac:dyDescent="0.2">
      <c r="C11" s="8"/>
      <c r="D11" s="112" t="str">
        <f>Januar!D11</f>
        <v>Beginn</v>
      </c>
      <c r="E11" s="1041"/>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3"/>
      <c r="AJ11" s="88"/>
      <c r="AK11" s="115"/>
      <c r="AL11" s="89"/>
      <c r="AM11" s="89"/>
      <c r="AN11" s="89"/>
      <c r="AO11" s="89"/>
      <c r="AP11" s="89"/>
      <c r="AQ11" s="89"/>
      <c r="AR11" s="89"/>
    </row>
    <row r="12" spans="2:46" ht="22.5" customHeight="1" x14ac:dyDescent="0.2">
      <c r="C12" s="116"/>
      <c r="D12" s="112" t="str">
        <f>Januar!D12</f>
        <v>Ende</v>
      </c>
      <c r="E12" s="235"/>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4"/>
      <c r="AJ12" s="88"/>
      <c r="AK12" s="902"/>
      <c r="AL12" s="91" t="s">
        <v>411</v>
      </c>
      <c r="AM12" s="91"/>
      <c r="AN12" s="113"/>
      <c r="AO12" s="89"/>
      <c r="AP12" s="89"/>
      <c r="AQ12" s="89"/>
      <c r="AR12" s="89"/>
    </row>
    <row r="13" spans="2:46" s="123" customFormat="1" x14ac:dyDescent="0.2">
      <c r="B13" s="117"/>
      <c r="C13" s="118" t="str">
        <f>Januar!C13</f>
        <v>Effektive Arbeitszeit</v>
      </c>
      <c r="D13" s="119"/>
      <c r="E13" s="1044">
        <f>IF(COUNT(E7:E12)&gt;0,E12-E11+E10-E9+E8-E7,E39)</f>
        <v>0</v>
      </c>
      <c r="F13" s="1045">
        <f t="shared" ref="F13:AI13" si="2">IF(COUNT(F7:F12)&gt;0,F12-F11+F10-F9+F8-F7,F39)</f>
        <v>0</v>
      </c>
      <c r="G13" s="1045">
        <f t="shared" si="2"/>
        <v>0</v>
      </c>
      <c r="H13" s="1045">
        <f t="shared" si="2"/>
        <v>0</v>
      </c>
      <c r="I13" s="1045">
        <f t="shared" si="2"/>
        <v>0</v>
      </c>
      <c r="J13" s="1045">
        <f t="shared" si="2"/>
        <v>0</v>
      </c>
      <c r="K13" s="1045">
        <f t="shared" si="2"/>
        <v>0</v>
      </c>
      <c r="L13" s="1045">
        <f t="shared" si="2"/>
        <v>0</v>
      </c>
      <c r="M13" s="1045">
        <f t="shared" si="2"/>
        <v>0</v>
      </c>
      <c r="N13" s="1045">
        <f t="shared" si="2"/>
        <v>0</v>
      </c>
      <c r="O13" s="1045">
        <f t="shared" si="2"/>
        <v>0</v>
      </c>
      <c r="P13" s="1045">
        <f t="shared" si="2"/>
        <v>0</v>
      </c>
      <c r="Q13" s="1045">
        <f t="shared" si="2"/>
        <v>0</v>
      </c>
      <c r="R13" s="1045">
        <f t="shared" si="2"/>
        <v>0</v>
      </c>
      <c r="S13" s="1045">
        <f t="shared" si="2"/>
        <v>0</v>
      </c>
      <c r="T13" s="1045">
        <f t="shared" si="2"/>
        <v>0</v>
      </c>
      <c r="U13" s="1045">
        <f t="shared" si="2"/>
        <v>0</v>
      </c>
      <c r="V13" s="1045">
        <f t="shared" si="2"/>
        <v>0</v>
      </c>
      <c r="W13" s="1045">
        <f t="shared" si="2"/>
        <v>0</v>
      </c>
      <c r="X13" s="1045">
        <f t="shared" si="2"/>
        <v>0</v>
      </c>
      <c r="Y13" s="1045">
        <f t="shared" si="2"/>
        <v>0</v>
      </c>
      <c r="Z13" s="1045">
        <f t="shared" si="2"/>
        <v>0</v>
      </c>
      <c r="AA13" s="1045">
        <f t="shared" si="2"/>
        <v>0</v>
      </c>
      <c r="AB13" s="1045">
        <f t="shared" si="2"/>
        <v>0</v>
      </c>
      <c r="AC13" s="1045">
        <f t="shared" si="2"/>
        <v>0</v>
      </c>
      <c r="AD13" s="1045">
        <f t="shared" si="2"/>
        <v>0</v>
      </c>
      <c r="AE13" s="1045">
        <f t="shared" si="2"/>
        <v>0</v>
      </c>
      <c r="AF13" s="1045">
        <f t="shared" si="2"/>
        <v>0</v>
      </c>
      <c r="AG13" s="1045">
        <f t="shared" si="2"/>
        <v>0</v>
      </c>
      <c r="AH13" s="1045">
        <f t="shared" si="2"/>
        <v>0</v>
      </c>
      <c r="AI13" s="1046">
        <f t="shared" si="2"/>
        <v>0</v>
      </c>
      <c r="AJ13" s="1047">
        <f t="shared" ref="AJ13:AJ18" si="3">SUM(E13:AI13)</f>
        <v>0</v>
      </c>
      <c r="AK13" s="120"/>
      <c r="AL13" s="121" t="s">
        <v>413</v>
      </c>
      <c r="AM13" s="121"/>
      <c r="AN13" s="122"/>
      <c r="AS13" s="124"/>
    </row>
    <row r="14" spans="2:46" s="129" customFormat="1" x14ac:dyDescent="0.2">
      <c r="B14" s="117"/>
      <c r="C14" s="118" t="str">
        <f>Januar!C14</f>
        <v>inkl. Basiszeit / Feiertage</v>
      </c>
      <c r="D14" s="125"/>
      <c r="E14" s="126">
        <f>ROUND(SUM(E13,E15,E21,E22,E24:E38),8)</f>
        <v>0</v>
      </c>
      <c r="F14" s="127">
        <f>ROUND(SUM(F13,F15,F21,F22,F24:F38),8)</f>
        <v>0</v>
      </c>
      <c r="G14" s="127">
        <f t="shared" ref="G14:AI14" si="4">ROUND(SUM(G13,G15,G21,G22,G24:G38),8)</f>
        <v>0</v>
      </c>
      <c r="H14" s="127">
        <f t="shared" si="4"/>
        <v>0</v>
      </c>
      <c r="I14" s="127">
        <f t="shared" si="4"/>
        <v>0</v>
      </c>
      <c r="J14" s="127">
        <f t="shared" si="4"/>
        <v>0</v>
      </c>
      <c r="K14" s="127">
        <f t="shared" si="4"/>
        <v>0</v>
      </c>
      <c r="L14" s="127">
        <f t="shared" si="4"/>
        <v>0</v>
      </c>
      <c r="M14" s="127">
        <f t="shared" si="4"/>
        <v>0</v>
      </c>
      <c r="N14" s="127">
        <f t="shared" si="4"/>
        <v>0</v>
      </c>
      <c r="O14" s="127">
        <f t="shared" si="4"/>
        <v>0</v>
      </c>
      <c r="P14" s="127">
        <f t="shared" si="4"/>
        <v>0</v>
      </c>
      <c r="Q14" s="127">
        <f t="shared" si="4"/>
        <v>0</v>
      </c>
      <c r="R14" s="127">
        <f t="shared" si="4"/>
        <v>0</v>
      </c>
      <c r="S14" s="127">
        <f t="shared" si="4"/>
        <v>0</v>
      </c>
      <c r="T14" s="127">
        <f t="shared" si="4"/>
        <v>0</v>
      </c>
      <c r="U14" s="127">
        <f t="shared" si="4"/>
        <v>0</v>
      </c>
      <c r="V14" s="127">
        <f t="shared" si="4"/>
        <v>0</v>
      </c>
      <c r="W14" s="127">
        <f t="shared" si="4"/>
        <v>0</v>
      </c>
      <c r="X14" s="127">
        <f t="shared" si="4"/>
        <v>0</v>
      </c>
      <c r="Y14" s="127">
        <f t="shared" si="4"/>
        <v>0</v>
      </c>
      <c r="Z14" s="127">
        <f t="shared" si="4"/>
        <v>0</v>
      </c>
      <c r="AA14" s="127">
        <f t="shared" si="4"/>
        <v>0</v>
      </c>
      <c r="AB14" s="127">
        <f t="shared" si="4"/>
        <v>0</v>
      </c>
      <c r="AC14" s="127">
        <f t="shared" si="4"/>
        <v>0</v>
      </c>
      <c r="AD14" s="127">
        <f t="shared" si="4"/>
        <v>0</v>
      </c>
      <c r="AE14" s="127">
        <f t="shared" si="4"/>
        <v>0</v>
      </c>
      <c r="AF14" s="127">
        <f t="shared" si="4"/>
        <v>0</v>
      </c>
      <c r="AG14" s="127">
        <f t="shared" si="4"/>
        <v>0</v>
      </c>
      <c r="AH14" s="127">
        <f t="shared" si="4"/>
        <v>0</v>
      </c>
      <c r="AI14" s="127">
        <f t="shared" si="4"/>
        <v>0</v>
      </c>
      <c r="AJ14" s="128">
        <f t="shared" si="3"/>
        <v>0</v>
      </c>
      <c r="AK14" s="1048">
        <f>AJ14-AJ16-IF(Eingabeblatt!D7="NEIN",AJ85,AJ85/1.25)</f>
        <v>-7.6999999999999966</v>
      </c>
      <c r="AL14" s="117" t="s">
        <v>415</v>
      </c>
      <c r="AM14" s="121"/>
      <c r="AN14" s="122"/>
      <c r="AT14" s="123"/>
    </row>
    <row r="15" spans="2:46" s="129" customFormat="1" x14ac:dyDescent="0.2">
      <c r="B15" s="117">
        <f>ctFeierFreitage!K28</f>
        <v>3.3166666666666669</v>
      </c>
      <c r="C15" s="118" t="str">
        <f>Januar!C15</f>
        <v>Feiertagsanspruch</v>
      </c>
      <c r="D15" s="125"/>
      <c r="E15" s="126">
        <f t="shared" ref="E15:AI15" si="5">IF(ISERROR(VLOOKUP(DATE($D$2,MONTH($C$2),E$4),Feiertagsanspruch,9,FALSE)),0,VLOOKUP(DATE($D$2,MONTH($C$2),E$4),Feiertagsanspruch,9,FALSE))</f>
        <v>0</v>
      </c>
      <c r="F15" s="127">
        <f t="shared" si="5"/>
        <v>0</v>
      </c>
      <c r="G15" s="127">
        <f t="shared" si="5"/>
        <v>0</v>
      </c>
      <c r="H15" s="127">
        <f t="shared" si="5"/>
        <v>0</v>
      </c>
      <c r="I15" s="127">
        <f t="shared" si="5"/>
        <v>0</v>
      </c>
      <c r="J15" s="127">
        <f t="shared" si="5"/>
        <v>0</v>
      </c>
      <c r="K15" s="127">
        <f t="shared" si="5"/>
        <v>0</v>
      </c>
      <c r="L15" s="127">
        <f t="shared" si="5"/>
        <v>0</v>
      </c>
      <c r="M15" s="127">
        <f t="shared" si="5"/>
        <v>0</v>
      </c>
      <c r="N15" s="127">
        <f t="shared" si="5"/>
        <v>0</v>
      </c>
      <c r="O15" s="127">
        <f t="shared" si="5"/>
        <v>0</v>
      </c>
      <c r="P15" s="127">
        <f t="shared" si="5"/>
        <v>0</v>
      </c>
      <c r="Q15" s="127">
        <f t="shared" si="5"/>
        <v>0</v>
      </c>
      <c r="R15" s="127">
        <f t="shared" si="5"/>
        <v>0</v>
      </c>
      <c r="S15" s="127">
        <f t="shared" si="5"/>
        <v>0</v>
      </c>
      <c r="T15" s="127">
        <f t="shared" si="5"/>
        <v>0</v>
      </c>
      <c r="U15" s="127">
        <f t="shared" si="5"/>
        <v>0</v>
      </c>
      <c r="V15" s="127">
        <f t="shared" si="5"/>
        <v>0</v>
      </c>
      <c r="W15" s="127">
        <f t="shared" si="5"/>
        <v>0</v>
      </c>
      <c r="X15" s="127">
        <f t="shared" si="5"/>
        <v>0</v>
      </c>
      <c r="Y15" s="127">
        <f t="shared" si="5"/>
        <v>0</v>
      </c>
      <c r="Z15" s="127">
        <f t="shared" si="5"/>
        <v>0</v>
      </c>
      <c r="AA15" s="127">
        <f t="shared" si="5"/>
        <v>0</v>
      </c>
      <c r="AB15" s="127">
        <f t="shared" si="5"/>
        <v>0</v>
      </c>
      <c r="AC15" s="127">
        <f t="shared" si="5"/>
        <v>0</v>
      </c>
      <c r="AD15" s="127">
        <f t="shared" si="5"/>
        <v>0</v>
      </c>
      <c r="AE15" s="127">
        <f t="shared" si="5"/>
        <v>0</v>
      </c>
      <c r="AF15" s="127">
        <f t="shared" si="5"/>
        <v>0</v>
      </c>
      <c r="AG15" s="127">
        <f t="shared" si="5"/>
        <v>0</v>
      </c>
      <c r="AH15" s="127">
        <f t="shared" si="5"/>
        <v>0</v>
      </c>
      <c r="AI15" s="127">
        <f t="shared" si="5"/>
        <v>0</v>
      </c>
      <c r="AJ15" s="128">
        <f t="shared" si="3"/>
        <v>0</v>
      </c>
      <c r="AK15" s="1048"/>
      <c r="AL15" s="117"/>
      <c r="AM15" s="121"/>
      <c r="AN15" s="122"/>
      <c r="AT15" s="123"/>
    </row>
    <row r="16" spans="2:46" s="123" customFormat="1" hidden="1" outlineLevel="1" x14ac:dyDescent="0.2">
      <c r="B16" s="117"/>
      <c r="C16" s="118" t="str">
        <f>Januar!C16</f>
        <v>SOLL-Arbeitszeit</v>
      </c>
      <c r="D16" s="119"/>
      <c r="E16" s="126">
        <f>IF(ROUND(E17-E15,8)&lt;0,0,ROUND(E17-E15,8))</f>
        <v>0.35</v>
      </c>
      <c r="F16" s="127">
        <f>IF(ROUND(F17-F15,8)&lt;0,0,ROUND(F17-F15,8))</f>
        <v>0.35</v>
      </c>
      <c r="G16" s="127">
        <f t="shared" ref="G16:AI16" si="6">IF(ROUND(G17-G15,8)&lt;0,0,ROUND(G17-G15,8))</f>
        <v>0.35</v>
      </c>
      <c r="H16" s="127">
        <f t="shared" si="6"/>
        <v>0.35</v>
      </c>
      <c r="I16" s="127">
        <f t="shared" si="6"/>
        <v>0.35</v>
      </c>
      <c r="J16" s="127">
        <f t="shared" si="6"/>
        <v>0</v>
      </c>
      <c r="K16" s="127">
        <f t="shared" si="6"/>
        <v>0</v>
      </c>
      <c r="L16" s="127">
        <f t="shared" si="6"/>
        <v>0.35</v>
      </c>
      <c r="M16" s="127">
        <f t="shared" si="6"/>
        <v>0.35</v>
      </c>
      <c r="N16" s="127">
        <f t="shared" si="6"/>
        <v>0.35</v>
      </c>
      <c r="O16" s="127">
        <f t="shared" si="6"/>
        <v>0.35</v>
      </c>
      <c r="P16" s="127">
        <f t="shared" si="6"/>
        <v>0.35</v>
      </c>
      <c r="Q16" s="127">
        <f t="shared" si="6"/>
        <v>0</v>
      </c>
      <c r="R16" s="127">
        <f t="shared" si="6"/>
        <v>0</v>
      </c>
      <c r="S16" s="127">
        <f t="shared" si="6"/>
        <v>0.35</v>
      </c>
      <c r="T16" s="127">
        <f t="shared" si="6"/>
        <v>0.35</v>
      </c>
      <c r="U16" s="127">
        <f t="shared" si="6"/>
        <v>0.35</v>
      </c>
      <c r="V16" s="127">
        <f t="shared" si="6"/>
        <v>0.35</v>
      </c>
      <c r="W16" s="127">
        <f t="shared" si="6"/>
        <v>0.35</v>
      </c>
      <c r="X16" s="127">
        <f t="shared" si="6"/>
        <v>0</v>
      </c>
      <c r="Y16" s="127">
        <f t="shared" si="6"/>
        <v>0</v>
      </c>
      <c r="Z16" s="127">
        <f t="shared" si="6"/>
        <v>0.35</v>
      </c>
      <c r="AA16" s="127">
        <f t="shared" si="6"/>
        <v>0.35</v>
      </c>
      <c r="AB16" s="127">
        <f t="shared" si="6"/>
        <v>0.35</v>
      </c>
      <c r="AC16" s="127">
        <f t="shared" si="6"/>
        <v>0.35</v>
      </c>
      <c r="AD16" s="127">
        <f t="shared" si="6"/>
        <v>0.35</v>
      </c>
      <c r="AE16" s="127">
        <f t="shared" si="6"/>
        <v>0</v>
      </c>
      <c r="AF16" s="127">
        <f t="shared" si="6"/>
        <v>0</v>
      </c>
      <c r="AG16" s="127">
        <f t="shared" si="6"/>
        <v>0.35</v>
      </c>
      <c r="AH16" s="127">
        <f t="shared" si="6"/>
        <v>0.35</v>
      </c>
      <c r="AI16" s="127">
        <f t="shared" si="6"/>
        <v>0</v>
      </c>
      <c r="AJ16" s="128">
        <f t="shared" si="3"/>
        <v>7.6999999999999966</v>
      </c>
      <c r="AK16" s="130"/>
      <c r="AL16" s="121" t="s">
        <v>416</v>
      </c>
      <c r="AM16" s="121"/>
      <c r="AN16" s="122"/>
      <c r="AT16" s="129"/>
    </row>
    <row r="17" spans="1:46" s="123" customFormat="1" collapsed="1" x14ac:dyDescent="0.2">
      <c r="B17" s="117"/>
      <c r="C17" s="118" t="str">
        <f>Januar!C17</f>
        <v>Regelarbeitszeit</v>
      </c>
      <c r="D17" s="119"/>
      <c r="E17" s="126">
        <f>IF(ISERROR(IF(E4&lt;&gt;0,VLOOKUP(DATE($D$2,MONTH($C$2),E$4),Raz,WEEKDAY(DATE($D$2,MONTH($C$2),E$4))+2),0)),0,IF(E4&lt;&gt;0,VLOOKUP(DATE($D$2,MONTH($C$2),E$4),Raz,WEEKDAY(DATE($D$2,MONTH($C$2),E$4))+2),0))</f>
        <v>0.35000000000000003</v>
      </c>
      <c r="F17" s="127">
        <f t="shared" ref="F17:AI17" si="7">IF(ISERROR(IF(F4&lt;&gt;0,VLOOKUP(DATE($D$2,MONTH($C$2),F$4),Raz,WEEKDAY(DATE($D$2,MONTH($C$2),F$4))+2),0)),0,IF(F4&lt;&gt;0,VLOOKUP(DATE($D$2,MONTH($C$2),F$4),Raz,WEEKDAY(DATE($D$2,MONTH($C$2),F$4))+2),0))</f>
        <v>0.35000000000000003</v>
      </c>
      <c r="G17" s="127">
        <f t="shared" si="7"/>
        <v>0.35000000000000003</v>
      </c>
      <c r="H17" s="127">
        <f t="shared" si="7"/>
        <v>0.35</v>
      </c>
      <c r="I17" s="127">
        <f t="shared" si="7"/>
        <v>0.35000000000000003</v>
      </c>
      <c r="J17" s="127">
        <f t="shared" si="7"/>
        <v>0</v>
      </c>
      <c r="K17" s="127">
        <f t="shared" si="7"/>
        <v>0</v>
      </c>
      <c r="L17" s="127">
        <f t="shared" si="7"/>
        <v>0.35000000000000003</v>
      </c>
      <c r="M17" s="127">
        <f t="shared" si="7"/>
        <v>0.35000000000000003</v>
      </c>
      <c r="N17" s="127">
        <f t="shared" si="7"/>
        <v>0.35000000000000003</v>
      </c>
      <c r="O17" s="127">
        <f t="shared" si="7"/>
        <v>0.35</v>
      </c>
      <c r="P17" s="127">
        <f t="shared" si="7"/>
        <v>0.35000000000000003</v>
      </c>
      <c r="Q17" s="127">
        <f t="shared" si="7"/>
        <v>0</v>
      </c>
      <c r="R17" s="127">
        <f t="shared" si="7"/>
        <v>0</v>
      </c>
      <c r="S17" s="127">
        <f t="shared" si="7"/>
        <v>0.35000000000000003</v>
      </c>
      <c r="T17" s="127">
        <f t="shared" si="7"/>
        <v>0.35000000000000003</v>
      </c>
      <c r="U17" s="127">
        <f t="shared" si="7"/>
        <v>0.35000000000000003</v>
      </c>
      <c r="V17" s="127">
        <f t="shared" si="7"/>
        <v>0.35</v>
      </c>
      <c r="W17" s="127">
        <f t="shared" si="7"/>
        <v>0.35000000000000003</v>
      </c>
      <c r="X17" s="127">
        <f t="shared" si="7"/>
        <v>0</v>
      </c>
      <c r="Y17" s="127">
        <f t="shared" si="7"/>
        <v>0</v>
      </c>
      <c r="Z17" s="127">
        <f t="shared" si="7"/>
        <v>0.35000000000000003</v>
      </c>
      <c r="AA17" s="127">
        <f t="shared" si="7"/>
        <v>0.35000000000000003</v>
      </c>
      <c r="AB17" s="127">
        <f t="shared" si="7"/>
        <v>0.35000000000000003</v>
      </c>
      <c r="AC17" s="127">
        <f t="shared" si="7"/>
        <v>0.35</v>
      </c>
      <c r="AD17" s="127">
        <f t="shared" si="7"/>
        <v>0.35000000000000003</v>
      </c>
      <c r="AE17" s="127">
        <f t="shared" si="7"/>
        <v>0</v>
      </c>
      <c r="AF17" s="127">
        <f t="shared" si="7"/>
        <v>0</v>
      </c>
      <c r="AG17" s="127">
        <f t="shared" si="7"/>
        <v>0.35000000000000003</v>
      </c>
      <c r="AH17" s="127">
        <f t="shared" si="7"/>
        <v>0.35000000000000003</v>
      </c>
      <c r="AI17" s="127">
        <f t="shared" si="7"/>
        <v>0</v>
      </c>
      <c r="AJ17" s="128">
        <f t="shared" si="3"/>
        <v>7.6999999999999966</v>
      </c>
      <c r="AK17" s="131"/>
      <c r="AL17" s="121"/>
      <c r="AM17" s="121"/>
      <c r="AN17" s="122"/>
    </row>
    <row r="18" spans="1:46" s="123" customFormat="1" x14ac:dyDescent="0.2">
      <c r="B18" s="117"/>
      <c r="C18" s="132" t="str">
        <f>Januar!C18</f>
        <v>Mehr-/Minderleistung</v>
      </c>
      <c r="D18" s="133"/>
      <c r="E18" s="134">
        <f>ROUND(E14-E17,8)</f>
        <v>-0.35</v>
      </c>
      <c r="F18" s="135">
        <f>ROUND(F14-F17,8)</f>
        <v>-0.35</v>
      </c>
      <c r="G18" s="135">
        <f t="shared" ref="G18:AI18" si="8">ROUND(G14-G17,8)</f>
        <v>-0.35</v>
      </c>
      <c r="H18" s="135">
        <f t="shared" si="8"/>
        <v>-0.35</v>
      </c>
      <c r="I18" s="135">
        <f t="shared" si="8"/>
        <v>-0.35</v>
      </c>
      <c r="J18" s="135">
        <f t="shared" si="8"/>
        <v>0</v>
      </c>
      <c r="K18" s="135">
        <f t="shared" si="8"/>
        <v>0</v>
      </c>
      <c r="L18" s="135">
        <f t="shared" si="8"/>
        <v>-0.35</v>
      </c>
      <c r="M18" s="135">
        <f t="shared" si="8"/>
        <v>-0.35</v>
      </c>
      <c r="N18" s="135">
        <f t="shared" si="8"/>
        <v>-0.35</v>
      </c>
      <c r="O18" s="135">
        <f t="shared" si="8"/>
        <v>-0.35</v>
      </c>
      <c r="P18" s="135">
        <f t="shared" si="8"/>
        <v>-0.35</v>
      </c>
      <c r="Q18" s="135">
        <f t="shared" si="8"/>
        <v>0</v>
      </c>
      <c r="R18" s="135">
        <f t="shared" si="8"/>
        <v>0</v>
      </c>
      <c r="S18" s="135">
        <f t="shared" si="8"/>
        <v>-0.35</v>
      </c>
      <c r="T18" s="135">
        <f t="shared" si="8"/>
        <v>-0.35</v>
      </c>
      <c r="U18" s="135">
        <f t="shared" si="8"/>
        <v>-0.35</v>
      </c>
      <c r="V18" s="135">
        <f t="shared" si="8"/>
        <v>-0.35</v>
      </c>
      <c r="W18" s="135">
        <f t="shared" si="8"/>
        <v>-0.35</v>
      </c>
      <c r="X18" s="135">
        <f t="shared" si="8"/>
        <v>0</v>
      </c>
      <c r="Y18" s="135">
        <f t="shared" si="8"/>
        <v>0</v>
      </c>
      <c r="Z18" s="135">
        <f t="shared" si="8"/>
        <v>-0.35</v>
      </c>
      <c r="AA18" s="135">
        <f t="shared" si="8"/>
        <v>-0.35</v>
      </c>
      <c r="AB18" s="135">
        <f t="shared" si="8"/>
        <v>-0.35</v>
      </c>
      <c r="AC18" s="135">
        <f t="shared" si="8"/>
        <v>-0.35</v>
      </c>
      <c r="AD18" s="135">
        <f t="shared" si="8"/>
        <v>-0.35</v>
      </c>
      <c r="AE18" s="135">
        <f t="shared" si="8"/>
        <v>0</v>
      </c>
      <c r="AF18" s="135">
        <f t="shared" si="8"/>
        <v>0</v>
      </c>
      <c r="AG18" s="135">
        <f t="shared" si="8"/>
        <v>-0.35</v>
      </c>
      <c r="AH18" s="135">
        <f t="shared" si="8"/>
        <v>-0.35</v>
      </c>
      <c r="AI18" s="135">
        <f t="shared" si="8"/>
        <v>0</v>
      </c>
      <c r="AJ18" s="136">
        <f t="shared" si="3"/>
        <v>-7.6999999999999966</v>
      </c>
      <c r="AK18" s="137" t="s">
        <v>418</v>
      </c>
      <c r="AL18" s="121" t="s">
        <v>419</v>
      </c>
      <c r="AM18" s="121"/>
      <c r="AN18" s="122"/>
      <c r="AO18" s="122"/>
    </row>
    <row r="19" spans="1:46" s="138" customFormat="1" ht="24" x14ac:dyDescent="0.2">
      <c r="A19" s="781"/>
      <c r="B19" s="139" t="s">
        <v>420</v>
      </c>
      <c r="C19" s="1049" t="str">
        <f>Januar!C19</f>
        <v>Arbeitszeit-Saldo</v>
      </c>
      <c r="D19" s="903">
        <f ca="1">Mai!AJ19</f>
        <v>0</v>
      </c>
      <c r="E19" s="1050">
        <f ca="1">IF(E4&lt;&gt;"",IF(DATE($D$2,MONTH($C$2),E$4)&lt;=Eingabeblatt!$I$8,IF(OR(AND(E$86="JA",E14&gt;E16),AND(E86="JA",Eingabeblatt!$I$10="NEIN")),D19,D19+E18),IF(D19=0,0,IF(OR(COUNT(E7:E12,E22:E38)&gt;0,AND(COUNT(E7:E12,E22:E38)=0,E16=0)),IF(OR(AND(E$86="JA",E14&gt;E16),AND(E86="JA",Eingabeblatt!$I$10="NEIN")),D19,D19+E18),0))),D19)</f>
        <v>0</v>
      </c>
      <c r="F19" s="1051">
        <f ca="1">IF(F4&lt;&gt;"",IF(DATE($D$2,MONTH($C$2),F$4)&lt;=Eingabeblatt!$I$8,IF(OR(AND(F$86="JA",F14&gt;F16),AND(F86="JA",Eingabeblatt!$I$10="NEIN")),E19,E19+F18),IF(E19=0,0,IF(OR(COUNT(F7:F12,F22:F38)&gt;0,AND(COUNT(F7:F12,F22:F38)=0,F16=0)),IF(OR(AND(F$86="JA",F14&gt;F16),AND(F86="JA",Eingabeblatt!$I$10="NEIN")),E19,E19+F18),0))),E19)</f>
        <v>0</v>
      </c>
      <c r="G19" s="1051">
        <f ca="1">IF(G4&lt;&gt;"",IF(DATE($D$2,MONTH($C$2),G$4)&lt;=Eingabeblatt!$I$8,IF(OR(AND(G$86="JA",G14&gt;G16),AND(G86="JA",Eingabeblatt!$I$10="NEIN")),F19,F19+G18),IF(F19=0,0,IF(OR(COUNT(G7:G12,G22:G38)&gt;0,AND(COUNT(G7:G12,G22:G38)=0,G16=0)),IF(OR(AND(G$86="JA",G14&gt;G16),AND(G86="JA",Eingabeblatt!$I$10="NEIN")),F19,F19+G18),0))),F19)</f>
        <v>0</v>
      </c>
      <c r="H19" s="1051">
        <f ca="1">IF(H4&lt;&gt;"",IF(DATE($D$2,MONTH($C$2),H$4)&lt;=Eingabeblatt!$I$8,IF(OR(AND(H$86="JA",H14&gt;H16),AND(H86="JA",Eingabeblatt!$I$10="NEIN")),G19,G19+H18),IF(G19=0,0,IF(OR(COUNT(H7:H12,H22:H38)&gt;0,AND(COUNT(H7:H12,H22:H38)=0,H16=0)),IF(OR(AND(H$86="JA",H14&gt;H16),AND(H86="JA",Eingabeblatt!$I$10="NEIN")),G19,G19+H18),0))),G19)</f>
        <v>0</v>
      </c>
      <c r="I19" s="1051">
        <f ca="1">IF(I4&lt;&gt;"",IF(DATE($D$2,MONTH($C$2),I$4)&lt;=Eingabeblatt!$I$8,IF(OR(AND(I$86="JA",I14&gt;I16),AND(I86="JA",Eingabeblatt!$I$10="NEIN")),H19,H19+I18),IF(H19=0,0,IF(OR(COUNT(I7:I12,I22:I38)&gt;0,AND(COUNT(I7:I12,I22:I38)=0,I16=0)),IF(OR(AND(I$86="JA",I14&gt;I16),AND(I86="JA",Eingabeblatt!$I$10="NEIN")),H19,H19+I18),0))),H19)</f>
        <v>0</v>
      </c>
      <c r="J19" s="1051">
        <f ca="1">IF(J4&lt;&gt;"",IF(DATE($D$2,MONTH($C$2),J$4)&lt;=Eingabeblatt!$I$8,IF(OR(AND(J$86="JA",J14&gt;J16),AND(J86="JA",Eingabeblatt!$I$10="NEIN")),I19,I19+J18),IF(I19=0,0,IF(OR(COUNT(J7:J12,J22:J38)&gt;0,AND(COUNT(J7:J12,J22:J38)=0,J16=0)),IF(OR(AND(J$86="JA",J14&gt;J16),AND(J86="JA",Eingabeblatt!$I$10="NEIN")),I19,I19+J18),0))),I19)</f>
        <v>0</v>
      </c>
      <c r="K19" s="1051">
        <f ca="1">IF(K4&lt;&gt;"",IF(DATE($D$2,MONTH($C$2),K$4)&lt;=Eingabeblatt!$I$8,IF(OR(AND(K$86="JA",K14&gt;K16),AND(K86="JA",Eingabeblatt!$I$10="NEIN")),J19,J19+K18),IF(J19=0,0,IF(OR(COUNT(K7:K12,K22:K38)&gt;0,AND(COUNT(K7:K12,K22:K38)=0,K16=0)),IF(OR(AND(K$86="JA",K14&gt;K16),AND(K86="JA",Eingabeblatt!$I$10="NEIN")),J19,J19+K18),0))),J19)</f>
        <v>0</v>
      </c>
      <c r="L19" s="1051">
        <f ca="1">IF(L4&lt;&gt;"",IF(DATE($D$2,MONTH($C$2),L$4)&lt;=Eingabeblatt!$I$8,IF(OR(AND(L$86="JA",L14&gt;L16),AND(L86="JA",Eingabeblatt!$I$10="NEIN")),K19,K19+L18),IF(K19=0,0,IF(OR(COUNT(L7:L12,L22:L38)&gt;0,AND(COUNT(L7:L12,L22:L38)=0,L16=0)),IF(OR(AND(L$86="JA",L14&gt;L16),AND(L86="JA",Eingabeblatt!$I$10="NEIN")),K19,K19+L18),0))),K19)</f>
        <v>0</v>
      </c>
      <c r="M19" s="1051">
        <f ca="1">IF(M4&lt;&gt;"",IF(DATE($D$2,MONTH($C$2),M$4)&lt;=Eingabeblatt!$I$8,IF(OR(AND(M$86="JA",M14&gt;M16),AND(M86="JA",Eingabeblatt!$I$10="NEIN")),L19,L19+M18),IF(L19=0,0,IF(OR(COUNT(M7:M12,M22:M38)&gt;0,AND(COUNT(M7:M12,M22:M38)=0,M16=0)),IF(OR(AND(M$86="JA",M14&gt;M16),AND(M86="JA",Eingabeblatt!$I$10="NEIN")),L19,L19+M18),0))),L19)</f>
        <v>0</v>
      </c>
      <c r="N19" s="1051">
        <f ca="1">IF(N4&lt;&gt;"",IF(DATE($D$2,MONTH($C$2),N$4)&lt;=Eingabeblatt!$I$8,IF(OR(AND(N$86="JA",N14&gt;N16),AND(N86="JA",Eingabeblatt!$I$10="NEIN")),M19,M19+N18),IF(M19=0,0,IF(OR(COUNT(N7:N12,N22:N38)&gt;0,AND(COUNT(N7:N12,N22:N38)=0,N16=0)),IF(OR(AND(N$86="JA",N14&gt;N16),AND(N86="JA",Eingabeblatt!$I$10="NEIN")),M19,M19+N18),0))),M19)</f>
        <v>0</v>
      </c>
      <c r="O19" s="1051">
        <f ca="1">IF(O4&lt;&gt;"",IF(DATE($D$2,MONTH($C$2),O$4)&lt;=Eingabeblatt!$I$8,IF(OR(AND(O$86="JA",O14&gt;O16),AND(O86="JA",Eingabeblatt!$I$10="NEIN")),N19,N19+O18),IF(N19=0,0,IF(OR(COUNT(O7:O12,O22:O38)&gt;0,AND(COUNT(O7:O12,O22:O38)=0,O16=0)),IF(OR(AND(O$86="JA",O14&gt;O16),AND(O86="JA",Eingabeblatt!$I$10="NEIN")),N19,N19+O18),0))),N19)</f>
        <v>0</v>
      </c>
      <c r="P19" s="1051">
        <f ca="1">IF(P4&lt;&gt;"",IF(DATE($D$2,MONTH($C$2),P$4)&lt;=Eingabeblatt!$I$8,IF(OR(AND(P$86="JA",P14&gt;P16),AND(P86="JA",Eingabeblatt!$I$10="NEIN")),O19,O19+P18),IF(O19=0,0,IF(OR(COUNT(P7:P12,P22:P38)&gt;0,AND(COUNT(P7:P12,P22:P38)=0,P16=0)),IF(OR(AND(P$86="JA",P14&gt;P16),AND(P86="JA",Eingabeblatt!$I$10="NEIN")),O19,O19+P18),0))),O19)</f>
        <v>0</v>
      </c>
      <c r="Q19" s="1051">
        <f ca="1">IF(Q4&lt;&gt;"",IF(DATE($D$2,MONTH($C$2),Q$4)&lt;=Eingabeblatt!$I$8,IF(OR(AND(Q$86="JA",Q14&gt;Q16),AND(Q86="JA",Eingabeblatt!$I$10="NEIN")),P19,P19+Q18),IF(P19=0,0,IF(OR(COUNT(Q7:Q12,Q22:Q38)&gt;0,AND(COUNT(Q7:Q12,Q22:Q38)=0,Q16=0)),IF(OR(AND(Q$86="JA",Q14&gt;Q16),AND(Q86="JA",Eingabeblatt!$I$10="NEIN")),P19,P19+Q18),0))),P19)</f>
        <v>0</v>
      </c>
      <c r="R19" s="1051">
        <f ca="1">IF(R4&lt;&gt;"",IF(DATE($D$2,MONTH($C$2),R$4)&lt;=Eingabeblatt!$I$8,IF(OR(AND(R$86="JA",R14&gt;R16),AND(R86="JA",Eingabeblatt!$I$10="NEIN")),Q19,Q19+R18),IF(Q19=0,0,IF(OR(COUNT(R7:R12,R22:R38)&gt;0,AND(COUNT(R7:R12,R22:R38)=0,R16=0)),IF(OR(AND(R$86="JA",R14&gt;R16),AND(R86="JA",Eingabeblatt!$I$10="NEIN")),Q19,Q19+R18),0))),Q19)</f>
        <v>0</v>
      </c>
      <c r="S19" s="1051">
        <f ca="1">IF(S4&lt;&gt;"",IF(DATE($D$2,MONTH($C$2),S$4)&lt;=Eingabeblatt!$I$8,IF(OR(AND(S$86="JA",S14&gt;S16),AND(S86="JA",Eingabeblatt!$I$10="NEIN")),R19,R19+S18),IF(R19=0,0,IF(OR(COUNT(S7:S12,S22:S38)&gt;0,AND(COUNT(S7:S12,S22:S38)=0,S16=0)),IF(OR(AND(S$86="JA",S14&gt;S16),AND(S86="JA",Eingabeblatt!$I$10="NEIN")),R19,R19+S18),0))),R19)</f>
        <v>0</v>
      </c>
      <c r="T19" s="1051">
        <f ca="1">IF(T4&lt;&gt;"",IF(DATE($D$2,MONTH($C$2),T$4)&lt;=Eingabeblatt!$I$8,IF(OR(AND(T$86="JA",T14&gt;T16),AND(T86="JA",Eingabeblatt!$I$10="NEIN")),S19,S19+T18),IF(S19=0,0,IF(OR(COUNT(T7:T12,T22:T38)&gt;0,AND(COUNT(T7:T12,T22:T38)=0,T16=0)),IF(OR(AND(T$86="JA",T14&gt;T16),AND(T86="JA",Eingabeblatt!$I$10="NEIN")),S19,S19+T18),0))),S19)</f>
        <v>0</v>
      </c>
      <c r="U19" s="1051">
        <f ca="1">IF(U4&lt;&gt;"",IF(DATE($D$2,MONTH($C$2),U$4)&lt;=Eingabeblatt!$I$8,IF(OR(AND(U$86="JA",U14&gt;U16),AND(U86="JA",Eingabeblatt!$I$10="NEIN")),T19,T19+U18),IF(T19=0,0,IF(OR(COUNT(U7:U12,U22:U38)&gt;0,AND(COUNT(U7:U12,U22:U38)=0,U16=0)),IF(OR(AND(U$86="JA",U14&gt;U16),AND(U86="JA",Eingabeblatt!$I$10="NEIN")),T19,T19+U18),0))),T19)</f>
        <v>0</v>
      </c>
      <c r="V19" s="1051">
        <f ca="1">IF(V4&lt;&gt;"",IF(DATE($D$2,MONTH($C$2),V$4)&lt;=Eingabeblatt!$I$8,IF(OR(AND(V$86="JA",V14&gt;V16),AND(V86="JA",Eingabeblatt!$I$10="NEIN")),U19,U19+V18),IF(U19=0,0,IF(OR(COUNT(V7:V12,V22:V38)&gt;0,AND(COUNT(V7:V12,V22:V38)=0,V16=0)),IF(OR(AND(V$86="JA",V14&gt;V16),AND(V86="JA",Eingabeblatt!$I$10="NEIN")),U19,U19+V18),0))),U19)</f>
        <v>0</v>
      </c>
      <c r="W19" s="1051">
        <f ca="1">IF(W4&lt;&gt;"",IF(DATE($D$2,MONTH($C$2),W$4)&lt;=Eingabeblatt!$I$8,IF(OR(AND(W$86="JA",W14&gt;W16),AND(W86="JA",Eingabeblatt!$I$10="NEIN")),V19,V19+W18),IF(V19=0,0,IF(OR(COUNT(W7:W12,W22:W38)&gt;0,AND(COUNT(W7:W12,W22:W38)=0,W16=0)),IF(OR(AND(W$86="JA",W14&gt;W16),AND(W86="JA",Eingabeblatt!$I$10="NEIN")),V19,V19+W18),0))),V19)</f>
        <v>0</v>
      </c>
      <c r="X19" s="1051">
        <f ca="1">IF(X4&lt;&gt;"",IF(DATE($D$2,MONTH($C$2),X$4)&lt;=Eingabeblatt!$I$8,IF(OR(AND(X$86="JA",X14&gt;X16),AND(X86="JA",Eingabeblatt!$I$10="NEIN")),W19,W19+X18),IF(W19=0,0,IF(OR(COUNT(X7:X12,X22:X38)&gt;0,AND(COUNT(X7:X12,X22:X38)=0,X16=0)),IF(OR(AND(X$86="JA",X14&gt;X16),AND(X86="JA",Eingabeblatt!$I$10="NEIN")),W19,W19+X18),0))),W19)</f>
        <v>0</v>
      </c>
      <c r="Y19" s="1051">
        <f ca="1">IF(Y4&lt;&gt;"",IF(DATE($D$2,MONTH($C$2),Y$4)&lt;=Eingabeblatt!$I$8,IF(OR(AND(Y$86="JA",Y14&gt;Y16),AND(Y86="JA",Eingabeblatt!$I$10="NEIN")),X19,X19+Y18),IF(X19=0,0,IF(OR(COUNT(Y7:Y12,Y22:Y38)&gt;0,AND(COUNT(Y7:Y12,Y22:Y38)=0,Y16=0)),IF(OR(AND(Y$86="JA",Y14&gt;Y16),AND(Y86="JA",Eingabeblatt!$I$10="NEIN")),X19,X19+Y18),0))),X19)</f>
        <v>0</v>
      </c>
      <c r="Z19" s="1051">
        <f ca="1">IF(Z4&lt;&gt;"",IF(DATE($D$2,MONTH($C$2),Z$4)&lt;=Eingabeblatt!$I$8,IF(OR(AND(Z$86="JA",Z14&gt;Z16),AND(Z86="JA",Eingabeblatt!$I$10="NEIN")),Y19,Y19+Z18),IF(Y19=0,0,IF(OR(COUNT(Z7:Z12,Z22:Z38)&gt;0,AND(COUNT(Z7:Z12,Z22:Z38)=0,Z16=0)),IF(OR(AND(Z$86="JA",Z14&gt;Z16),AND(Z86="JA",Eingabeblatt!$I$10="NEIN")),Y19,Y19+Z18),0))),Y19)</f>
        <v>0</v>
      </c>
      <c r="AA19" s="1051">
        <f ca="1">IF(AA4&lt;&gt;"",IF(DATE($D$2,MONTH($C$2),AA$4)&lt;=Eingabeblatt!$I$8,IF(OR(AND(AA$86="JA",AA14&gt;AA16),AND(AA86="JA",Eingabeblatt!$I$10="NEIN")),Z19,Z19+AA18),IF(Z19=0,0,IF(OR(COUNT(AA7:AA12,AA22:AA38)&gt;0,AND(COUNT(AA7:AA12,AA22:AA38)=0,AA16=0)),IF(OR(AND(AA$86="JA",AA14&gt;AA16),AND(AA86="JA",Eingabeblatt!$I$10="NEIN")),Z19,Z19+AA18),0))),Z19)</f>
        <v>0</v>
      </c>
      <c r="AB19" s="1051">
        <f ca="1">IF(AB4&lt;&gt;"",IF(DATE($D$2,MONTH($C$2),AB$4)&lt;=Eingabeblatt!$I$8,IF(OR(AND(AB$86="JA",AB14&gt;AB16),AND(AB86="JA",Eingabeblatt!$I$10="NEIN")),AA19,AA19+AB18),IF(AA19=0,0,IF(OR(COUNT(AB7:AB12,AB22:AB38)&gt;0,AND(COUNT(AB7:AB12,AB22:AB38)=0,AB16=0)),IF(OR(AND(AB$86="JA",AB14&gt;AB16),AND(AB86="JA",Eingabeblatt!$I$10="NEIN")),AA19,AA19+AB18),0))),AA19)</f>
        <v>0</v>
      </c>
      <c r="AC19" s="1051">
        <f ca="1">IF(AC4&lt;&gt;"",IF(DATE($D$2,MONTH($C$2),AC$4)&lt;=Eingabeblatt!$I$8,IF(OR(AND(AC$86="JA",AC14&gt;AC16),AND(AC86="JA",Eingabeblatt!$I$10="NEIN")),AB19,AB19+AC18),IF(AB19=0,0,IF(OR(COUNT(AC7:AC12,AC22:AC38)&gt;0,AND(COUNT(AC7:AC12,AC22:AC38)=0,AC16=0)),IF(OR(AND(AC$86="JA",AC14&gt;AC16),AND(AC86="JA",Eingabeblatt!$I$10="NEIN")),AB19,AB19+AC18),0))),AB19)</f>
        <v>0</v>
      </c>
      <c r="AD19" s="1051">
        <f ca="1">IF(AD4&lt;&gt;"",IF(DATE($D$2,MONTH($C$2),AD$4)&lt;=Eingabeblatt!$I$8,IF(OR(AND(AD$86="JA",AD14&gt;AD16),AND(AD86="JA",Eingabeblatt!$I$10="NEIN")),AC19,AC19+AD18),IF(AC19=0,0,IF(OR(COUNT(AD7:AD12,AD22:AD38)&gt;0,AND(COUNT(AD7:AD12,AD22:AD38)=0,AD16=0)),IF(OR(AND(AD$86="JA",AD14&gt;AD16),AND(AD86="JA",Eingabeblatt!$I$10="NEIN")),AC19,AC19+AD18),0))),AC19)</f>
        <v>0</v>
      </c>
      <c r="AE19" s="1051">
        <f ca="1">IF(AE4&lt;&gt;"",IF(DATE($D$2,MONTH($C$2),AE$4)&lt;=Eingabeblatt!$I$8,IF(OR(AND(AE$86="JA",AE14&gt;AE16),AND(AE86="JA",Eingabeblatt!$I$10="NEIN")),AD19,AD19+AE18),IF(AD19=0,0,IF(OR(COUNT(AE7:AE12,AE22:AE38)&gt;0,AND(COUNT(AE7:AE12,AE22:AE38)=0,AE16=0)),IF(OR(AND(AE$86="JA",AE14&gt;AE16),AND(AE86="JA",Eingabeblatt!$I$10="NEIN")),AD19,AD19+AE18),0))),AD19)</f>
        <v>0</v>
      </c>
      <c r="AF19" s="1051">
        <f ca="1">IF(AF4&lt;&gt;"",IF(DATE($D$2,MONTH($C$2),AF$4)&lt;=Eingabeblatt!$I$8,IF(OR(AND(AF$86="JA",AF14&gt;AF16),AND(AF86="JA",Eingabeblatt!$I$10="NEIN")),AE19,AE19+AF18),IF(AE19=0,0,IF(OR(COUNT(AF7:AF12,AF22:AF38)&gt;0,AND(COUNT(AF7:AF12,AF22:AF38)=0,AF16=0)),IF(OR(AND(AF$86="JA",AF14&gt;AF16),AND(AF86="JA",Eingabeblatt!$I$10="NEIN")),AE19,AE19+AF18),0))),AE19)</f>
        <v>0</v>
      </c>
      <c r="AG19" s="1051">
        <f ca="1">IF(AG4&lt;&gt;"",IF(DATE($D$2,MONTH($C$2),AG$4)&lt;=Eingabeblatt!$I$8,IF(OR(AND(AG$86="JA",AG14&gt;AG16),AND(AG86="JA",Eingabeblatt!$I$10="NEIN")),AF19,AF19+AG18),IF(AF19=0,0,IF(OR(COUNT(AG7:AG12,AG22:AG38)&gt;0,AND(COUNT(AG7:AG12,AG22:AG38)=0,AG16=0)),IF(OR(AND(AG$86="JA",AG14&gt;AG16),AND(AG86="JA",Eingabeblatt!$I$10="NEIN")),AF19,AF19+AG18),0))),AF19)</f>
        <v>0</v>
      </c>
      <c r="AH19" s="1051">
        <f ca="1">IF(AH4&lt;&gt;"",IF(DATE($D$2,MONTH($C$2),AH$4)&lt;=Eingabeblatt!$I$8,IF(OR(AND(AH$86="JA",AH14&gt;AH16),AND(AH86="JA",Eingabeblatt!$I$10="NEIN")),AG19,AG19+AH18),IF(AG19=0,0,IF(OR(COUNT(AH7:AH12,AH22:AH38)&gt;0,AND(COUNT(AH7:AH12,AH22:AH38)=0,AH16=0)),IF(OR(AND(AH$86="JA",AH14&gt;AH16),AND(AH86="JA",Eingabeblatt!$I$10="NEIN")),AG19,AG19+AH18),0))),AG19)</f>
        <v>0</v>
      </c>
      <c r="AI19" s="1052">
        <f ca="1">IF(AI4&lt;&gt;"",IF(DATE($D$2,MONTH($C$2),AI$4)&lt;=Eingabeblatt!$I$8,IF(OR(AND(AI$86="JA",AI14&gt;AI16),AND(AI86="JA",Eingabeblatt!$I$10="NEIN")),AH19,AH19+AI18),IF(AH19=0,0,IF(OR(COUNT(AI7:AI12,AI22:AI38)&gt;0,AND(COUNT(AI7:AI12,AI22:AI38)=0,AI16=0)),IF(OR(AND(AI$86="JA",AI14&gt;AI16),AND(AI86="JA",Eingabeblatt!$I$10="NEIN")),AH19,AH19+AI18),0))),AH19)</f>
        <v>0</v>
      </c>
      <c r="AJ19" s="1053">
        <f ca="1">AI19</f>
        <v>0</v>
      </c>
      <c r="AK19" s="904">
        <f ca="1">AI19</f>
        <v>0</v>
      </c>
      <c r="AL19" s="905" t="s">
        <v>422</v>
      </c>
      <c r="AM19" s="905"/>
      <c r="AN19" s="906"/>
      <c r="AO19" s="781"/>
      <c r="AP19" s="781"/>
      <c r="AQ19" s="781"/>
      <c r="AR19" s="781"/>
      <c r="AS19" s="907"/>
      <c r="AT19" s="781"/>
    </row>
    <row r="20" spans="1:46" ht="22.5" hidden="1" customHeight="1" outlineLevel="1" x14ac:dyDescent="0.2">
      <c r="B20" s="143"/>
      <c r="C20" s="953" t="str">
        <f>Januar!C20</f>
        <v>Feiertagssaldo</v>
      </c>
      <c r="D20" s="954">
        <f>Mai!AJ20</f>
        <v>0</v>
      </c>
      <c r="E20" s="955">
        <f t="shared" ref="E20:AI20" si="9">IF(VLOOKUP(DATE($D$2,MONTH($C$2),E$4),Ferienanspruch,3,TRUE)=100,D20-E21,IF(VLOOKUP(DATE($D$2,MONTH($C$2),E$4),Feiertagsanspruch,6,TRUE)*24&lt;Normtagesarbeitszeit*24,IF((E17-E15)&lt;0,D20-E21+(E15-E17),IF(E17&gt;0,D20-E21,D20-E21+E15)),IF((E17-E15)&lt;0,D20-E21+(E15-E17),IF(E17&gt;0,D20-E21,D20-E21+E15))))</f>
        <v>0</v>
      </c>
      <c r="F20" s="956">
        <f t="shared" si="9"/>
        <v>0</v>
      </c>
      <c r="G20" s="956">
        <f t="shared" si="9"/>
        <v>0</v>
      </c>
      <c r="H20" s="956">
        <f t="shared" si="9"/>
        <v>0</v>
      </c>
      <c r="I20" s="956">
        <f t="shared" si="9"/>
        <v>0</v>
      </c>
      <c r="J20" s="956">
        <f t="shared" si="9"/>
        <v>0</v>
      </c>
      <c r="K20" s="956">
        <f t="shared" si="9"/>
        <v>0</v>
      </c>
      <c r="L20" s="956">
        <f t="shared" si="9"/>
        <v>0</v>
      </c>
      <c r="M20" s="956">
        <f t="shared" si="9"/>
        <v>0</v>
      </c>
      <c r="N20" s="956">
        <f t="shared" si="9"/>
        <v>0</v>
      </c>
      <c r="O20" s="956">
        <f t="shared" si="9"/>
        <v>0</v>
      </c>
      <c r="P20" s="956">
        <f t="shared" si="9"/>
        <v>0</v>
      </c>
      <c r="Q20" s="956">
        <f t="shared" si="9"/>
        <v>0</v>
      </c>
      <c r="R20" s="956">
        <f t="shared" si="9"/>
        <v>0</v>
      </c>
      <c r="S20" s="956">
        <f t="shared" si="9"/>
        <v>0</v>
      </c>
      <c r="T20" s="956">
        <f t="shared" si="9"/>
        <v>0</v>
      </c>
      <c r="U20" s="956">
        <f t="shared" si="9"/>
        <v>0</v>
      </c>
      <c r="V20" s="956">
        <f t="shared" si="9"/>
        <v>0</v>
      </c>
      <c r="W20" s="956">
        <f t="shared" si="9"/>
        <v>0</v>
      </c>
      <c r="X20" s="956">
        <f t="shared" si="9"/>
        <v>0</v>
      </c>
      <c r="Y20" s="956">
        <f t="shared" si="9"/>
        <v>0</v>
      </c>
      <c r="Z20" s="956">
        <f t="shared" si="9"/>
        <v>0</v>
      </c>
      <c r="AA20" s="956">
        <f t="shared" si="9"/>
        <v>0</v>
      </c>
      <c r="AB20" s="956">
        <f t="shared" si="9"/>
        <v>0</v>
      </c>
      <c r="AC20" s="956">
        <f t="shared" si="9"/>
        <v>0</v>
      </c>
      <c r="AD20" s="956">
        <f t="shared" si="9"/>
        <v>0</v>
      </c>
      <c r="AE20" s="956">
        <f t="shared" si="9"/>
        <v>0</v>
      </c>
      <c r="AF20" s="956">
        <f t="shared" si="9"/>
        <v>0</v>
      </c>
      <c r="AG20" s="956">
        <f t="shared" si="9"/>
        <v>0</v>
      </c>
      <c r="AH20" s="956">
        <f t="shared" si="9"/>
        <v>0</v>
      </c>
      <c r="AI20" s="957">
        <f t="shared" si="9"/>
        <v>0</v>
      </c>
      <c r="AJ20" s="142">
        <f>AI20</f>
        <v>0</v>
      </c>
      <c r="AK20" s="912">
        <f>AJ20</f>
        <v>0</v>
      </c>
      <c r="AL20" s="141" t="s">
        <v>423</v>
      </c>
      <c r="AM20" s="91"/>
      <c r="AN20" s="113"/>
      <c r="AO20" s="113"/>
      <c r="AP20" s="113"/>
      <c r="AQ20" s="89"/>
      <c r="AR20" s="89"/>
    </row>
    <row r="21" spans="1:46" s="88" customFormat="1" hidden="1" outlineLevel="1" x14ac:dyDescent="0.2">
      <c r="A21" s="88" t="s">
        <v>424</v>
      </c>
      <c r="B21" s="143"/>
      <c r="C21" s="1054" t="str">
        <f>Januar!C21</f>
        <v>Komp.Feiertg.f.Teilzeiter</v>
      </c>
      <c r="D21" s="1055"/>
      <c r="E21" s="1056"/>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8"/>
      <c r="AJ21" s="1059">
        <f>SUM(D21:AI21)</f>
        <v>0</v>
      </c>
      <c r="AK21" s="1060">
        <f>AJ21</f>
        <v>0</v>
      </c>
      <c r="AL21" s="144" t="s">
        <v>359</v>
      </c>
      <c r="AM21" s="145"/>
      <c r="AN21" s="146"/>
      <c r="AO21" s="146"/>
      <c r="AP21" s="146"/>
      <c r="AQ21" s="147"/>
      <c r="AR21" s="147"/>
      <c r="AT21" s="8"/>
    </row>
    <row r="22" spans="1:46" s="88" customFormat="1" collapsed="1" x14ac:dyDescent="0.2">
      <c r="A22" s="148"/>
      <c r="B22" s="143"/>
      <c r="C22" s="149" t="str">
        <f>Januar!C22</f>
        <v>Ferienbezug</v>
      </c>
      <c r="D22" s="150">
        <f>Mai!AK22</f>
        <v>8.0500000000000007</v>
      </c>
      <c r="E22" s="913"/>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322"/>
      <c r="AJ22" s="151">
        <f>SUM(E22:AI22)</f>
        <v>0</v>
      </c>
      <c r="AK22" s="152">
        <f>ROUND(D22-AJ22,8)</f>
        <v>8.0500000000000007</v>
      </c>
      <c r="AL22" s="144" t="s">
        <v>425</v>
      </c>
      <c r="AM22" s="145" t="s">
        <v>426</v>
      </c>
      <c r="AN22" s="146"/>
      <c r="AO22" s="146"/>
      <c r="AP22" s="146"/>
      <c r="AQ22" s="147"/>
      <c r="AR22" s="147"/>
    </row>
    <row r="23" spans="1:46" s="88" customFormat="1" ht="22.5" hidden="1" customHeight="1" outlineLevel="1" x14ac:dyDescent="0.2">
      <c r="A23" s="148"/>
      <c r="B23" s="153">
        <f>Eingabeblatt!E29</f>
        <v>0</v>
      </c>
      <c r="C23" s="154" t="str">
        <f>Januar!C23</f>
        <v>Kompens. Arbeitszeit</v>
      </c>
      <c r="D23" s="155">
        <f>Mai!AK23</f>
        <v>0</v>
      </c>
      <c r="E23" s="913"/>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322"/>
      <c r="AJ23" s="151">
        <f>SUM(E23:AI23)</f>
        <v>0</v>
      </c>
      <c r="AK23" s="152">
        <f>IF(B23="",0,ROUND(B23+D23-AJ23,8))</f>
        <v>0</v>
      </c>
      <c r="AL23" s="144" t="s">
        <v>425</v>
      </c>
      <c r="AM23" s="145"/>
      <c r="AN23" s="146"/>
      <c r="AO23" s="692"/>
      <c r="AP23" s="146"/>
      <c r="AQ23" s="147"/>
      <c r="AR23" s="147"/>
    </row>
    <row r="24" spans="1:46" s="88" customFormat="1" ht="22.5" hidden="1" customHeight="1" outlineLevel="1" x14ac:dyDescent="0.2">
      <c r="A24" s="148" t="s">
        <v>424</v>
      </c>
      <c r="B24" s="156"/>
      <c r="C24" s="154" t="str">
        <f>Januar!C24</f>
        <v>Kompens. Überzeit</v>
      </c>
      <c r="D24" s="150">
        <f>Mai!AK24</f>
        <v>0</v>
      </c>
      <c r="E24" s="913"/>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322"/>
      <c r="AJ24" s="151">
        <f>SUM(E24:AI24)</f>
        <v>0</v>
      </c>
      <c r="AK24" s="152">
        <f>ROUND(D24+AJ85-AJ24,8)</f>
        <v>0</v>
      </c>
      <c r="AL24" s="157" t="s">
        <v>428</v>
      </c>
      <c r="AM24" s="145" t="s">
        <v>429</v>
      </c>
      <c r="AN24" s="146"/>
      <c r="AO24" s="692"/>
      <c r="AP24" s="146"/>
      <c r="AQ24" s="147"/>
      <c r="AR24" s="147"/>
    </row>
    <row r="25" spans="1:46" s="88" customFormat="1" collapsed="1" x14ac:dyDescent="0.2">
      <c r="A25" s="148"/>
      <c r="B25" s="156"/>
      <c r="C25" s="154" t="str">
        <f>Januar!C25</f>
        <v>Krankheit</v>
      </c>
      <c r="D25" s="158">
        <f>Mai!AK25</f>
        <v>0</v>
      </c>
      <c r="E25" s="913"/>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322"/>
      <c r="AJ25" s="151">
        <f>SUM(E25:AI25)</f>
        <v>0</v>
      </c>
      <c r="AK25" s="152">
        <f t="shared" ref="AK25:AK30" si="10">ROUND(B25+D25+AJ25,8)</f>
        <v>0</v>
      </c>
      <c r="AL25" s="144" t="s">
        <v>359</v>
      </c>
      <c r="AM25" s="145"/>
      <c r="AN25" s="146"/>
      <c r="AO25" s="146"/>
      <c r="AP25" s="147"/>
      <c r="AQ25" s="147"/>
      <c r="AR25" s="147"/>
    </row>
    <row r="26" spans="1:46" s="88" customFormat="1" x14ac:dyDescent="0.2">
      <c r="A26" s="148"/>
      <c r="B26" s="156"/>
      <c r="C26" s="154" t="str">
        <f>Januar!C26</f>
        <v>Unfall</v>
      </c>
      <c r="D26" s="158">
        <f>Mai!AK26</f>
        <v>0</v>
      </c>
      <c r="E26" s="913"/>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322"/>
      <c r="AJ26" s="151">
        <f>SUM(E26:AI26)</f>
        <v>0</v>
      </c>
      <c r="AK26" s="152">
        <f t="shared" si="10"/>
        <v>0</v>
      </c>
      <c r="AL26" s="144" t="s">
        <v>359</v>
      </c>
      <c r="AM26" s="145" t="s">
        <v>430</v>
      </c>
      <c r="AN26" s="146"/>
      <c r="AO26" s="146"/>
      <c r="AP26" s="146"/>
      <c r="AQ26" s="147"/>
      <c r="AR26" s="147"/>
    </row>
    <row r="27" spans="1:46" s="88" customFormat="1" x14ac:dyDescent="0.2">
      <c r="A27" s="148"/>
      <c r="B27" s="156"/>
      <c r="C27" s="154" t="str">
        <f>Januar!C27</f>
        <v>Militär / Zivildienst</v>
      </c>
      <c r="D27" s="158">
        <f>Mai!AK27</f>
        <v>0</v>
      </c>
      <c r="E27" s="913"/>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322"/>
      <c r="AJ27" s="151">
        <f t="shared" ref="AJ27:AJ35" si="11">SUM(E27:AI27)</f>
        <v>0</v>
      </c>
      <c r="AK27" s="152">
        <f t="shared" si="10"/>
        <v>0</v>
      </c>
      <c r="AL27" s="144" t="s">
        <v>359</v>
      </c>
      <c r="AM27" s="145"/>
      <c r="AN27" s="146"/>
      <c r="AO27" s="146"/>
      <c r="AP27" s="147"/>
      <c r="AQ27" s="147"/>
      <c r="AR27" s="147"/>
    </row>
    <row r="28" spans="1:46" s="88" customFormat="1" ht="22.5" hidden="1" customHeight="1" outlineLevel="2" x14ac:dyDescent="0.2">
      <c r="A28" s="148" t="s">
        <v>424</v>
      </c>
      <c r="B28" s="156"/>
      <c r="C28" s="154" t="str">
        <f>Januar!C28</f>
        <v>Nichtberufsunfall</v>
      </c>
      <c r="D28" s="158">
        <f>Mai!AK28</f>
        <v>0</v>
      </c>
      <c r="E28" s="913"/>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322"/>
      <c r="AJ28" s="151">
        <f t="shared" si="11"/>
        <v>0</v>
      </c>
      <c r="AK28" s="152">
        <f t="shared" si="10"/>
        <v>0</v>
      </c>
      <c r="AL28" s="157" t="s">
        <v>359</v>
      </c>
      <c r="AM28" s="145"/>
      <c r="AN28" s="146"/>
      <c r="AO28" s="692"/>
      <c r="AP28" s="146"/>
      <c r="AQ28" s="147"/>
      <c r="AR28" s="147"/>
    </row>
    <row r="29" spans="1:46" s="88" customFormat="1" collapsed="1" x14ac:dyDescent="0.2">
      <c r="A29" s="148"/>
      <c r="B29" s="156"/>
      <c r="C29" s="154" t="str">
        <f>Januar!C29</f>
        <v>Weiterbildung</v>
      </c>
      <c r="D29" s="158">
        <f>Mai!AK29</f>
        <v>0</v>
      </c>
      <c r="E29" s="913"/>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322"/>
      <c r="AJ29" s="151">
        <f t="shared" si="11"/>
        <v>0</v>
      </c>
      <c r="AK29" s="152">
        <f t="shared" si="10"/>
        <v>0</v>
      </c>
      <c r="AL29" s="144" t="s">
        <v>359</v>
      </c>
      <c r="AM29" s="145"/>
      <c r="AN29" s="146"/>
      <c r="AO29" s="146"/>
      <c r="AP29" s="147"/>
      <c r="AQ29" s="147"/>
      <c r="AR29" s="147"/>
    </row>
    <row r="30" spans="1:46" s="88" customFormat="1" x14ac:dyDescent="0.2">
      <c r="A30" s="148"/>
      <c r="B30" s="156"/>
      <c r="C30" s="154" t="str">
        <f>Januar!C30</f>
        <v>Unbezahlter Urlaub</v>
      </c>
      <c r="D30" s="158">
        <f>Mai!AK30</f>
        <v>0</v>
      </c>
      <c r="E30" s="913"/>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322"/>
      <c r="AJ30" s="151">
        <f t="shared" si="11"/>
        <v>0</v>
      </c>
      <c r="AK30" s="152">
        <f t="shared" si="10"/>
        <v>0</v>
      </c>
      <c r="AL30" s="144" t="s">
        <v>359</v>
      </c>
      <c r="AM30" s="145"/>
      <c r="AN30" s="146"/>
      <c r="AO30" s="146"/>
      <c r="AP30" s="147"/>
      <c r="AQ30" s="147"/>
      <c r="AR30" s="147"/>
    </row>
    <row r="31" spans="1:46" s="88" customFormat="1" x14ac:dyDescent="0.2">
      <c r="A31" s="148"/>
      <c r="B31" s="159">
        <f>IF(Eingabeblatt!C183="OK",Eingabeblatt!A183,"  Fehler")</f>
        <v>0</v>
      </c>
      <c r="C31" s="154" t="str">
        <f>Januar!C31</f>
        <v>Bezahlter Urlaub</v>
      </c>
      <c r="D31" s="158">
        <f>Mai!AK31</f>
        <v>0</v>
      </c>
      <c r="E31" s="913"/>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322"/>
      <c r="AJ31" s="151">
        <f t="shared" si="11"/>
        <v>0</v>
      </c>
      <c r="AK31" s="160">
        <f>ROUND(B31+D31-AJ31,8)</f>
        <v>0</v>
      </c>
      <c r="AL31" s="144" t="s">
        <v>425</v>
      </c>
      <c r="AM31" s="145"/>
      <c r="AN31" s="146"/>
      <c r="AO31" s="146"/>
      <c r="AP31" s="147"/>
      <c r="AQ31" s="147"/>
      <c r="AR31" s="147"/>
    </row>
    <row r="32" spans="1:46" s="88" customFormat="1" x14ac:dyDescent="0.2">
      <c r="A32" s="148"/>
      <c r="B32" s="159">
        <f>IF(Eingabeblatt!C184="OK",Eingabeblatt!A184,"  Fehler")</f>
        <v>0</v>
      </c>
      <c r="C32" s="161" t="str">
        <f>Januar!C32</f>
        <v>Kaderarbeitszeit</v>
      </c>
      <c r="D32" s="162">
        <f>Mai!AK32</f>
        <v>0</v>
      </c>
      <c r="E32" s="914"/>
      <c r="F32" s="915"/>
      <c r="G32" s="915"/>
      <c r="H32" s="915"/>
      <c r="I32" s="915"/>
      <c r="J32" s="915"/>
      <c r="K32" s="915"/>
      <c r="L32" s="915"/>
      <c r="M32" s="915"/>
      <c r="N32" s="915"/>
      <c r="O32" s="915"/>
      <c r="P32" s="915"/>
      <c r="Q32" s="915"/>
      <c r="R32" s="915"/>
      <c r="S32" s="915"/>
      <c r="T32" s="915"/>
      <c r="U32" s="915"/>
      <c r="V32" s="915"/>
      <c r="W32" s="915"/>
      <c r="X32" s="915"/>
      <c r="Y32" s="915"/>
      <c r="Z32" s="915"/>
      <c r="AA32" s="915"/>
      <c r="AB32" s="915"/>
      <c r="AC32" s="915"/>
      <c r="AD32" s="915"/>
      <c r="AE32" s="915"/>
      <c r="AF32" s="915"/>
      <c r="AG32" s="915"/>
      <c r="AH32" s="915"/>
      <c r="AI32" s="916"/>
      <c r="AJ32" s="163">
        <f t="shared" si="11"/>
        <v>0</v>
      </c>
      <c r="AK32" s="164">
        <f>ROUND(B32+D32-AJ32,8)</f>
        <v>0</v>
      </c>
      <c r="AL32" s="157" t="s">
        <v>425</v>
      </c>
      <c r="AM32" s="145"/>
      <c r="AN32" s="146"/>
      <c r="AO32" s="146"/>
      <c r="AP32" s="146"/>
      <c r="AQ32" s="147"/>
      <c r="AR32" s="147"/>
    </row>
    <row r="33" spans="1:46" ht="22.5" hidden="1" customHeight="1" outlineLevel="1" x14ac:dyDescent="0.2">
      <c r="A33" s="165" t="s">
        <v>424</v>
      </c>
      <c r="B33" s="156">
        <f>IF(Eingabeblatt!C185="OK",Eingabeblatt!A185,"  Fehler")</f>
        <v>0</v>
      </c>
      <c r="C33" s="166" t="str">
        <f>Januar!C33</f>
        <v>Nebenbeschäftigung</v>
      </c>
      <c r="D33" s="162">
        <f>Mai!AK33</f>
        <v>0</v>
      </c>
      <c r="E33" s="167"/>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9"/>
      <c r="AJ33" s="140">
        <f t="shared" si="11"/>
        <v>0</v>
      </c>
      <c r="AK33" s="917">
        <f>ROUND(B33+D33-AJ33,8)</f>
        <v>0</v>
      </c>
      <c r="AL33" s="157" t="s">
        <v>425</v>
      </c>
      <c r="AM33" s="91"/>
      <c r="AN33" s="113"/>
      <c r="AO33" s="692"/>
      <c r="AP33" s="113"/>
      <c r="AQ33" s="89"/>
      <c r="AR33" s="89"/>
      <c r="AT33" s="88"/>
    </row>
    <row r="34" spans="1:46" ht="22.5" hidden="1" customHeight="1" outlineLevel="1" x14ac:dyDescent="0.2">
      <c r="A34" s="165"/>
      <c r="B34" s="156">
        <f>IF(Eingabeblatt!C182="OK",Eingabeblatt!A182,"  Fehler")</f>
        <v>0</v>
      </c>
      <c r="C34" s="170" t="str">
        <f>Januar!C34</f>
        <v>D A G</v>
      </c>
      <c r="D34" s="162">
        <f>Mai!AK34</f>
        <v>0</v>
      </c>
      <c r="E34" s="171"/>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3"/>
      <c r="AJ34" s="174">
        <f>SUM(E34:AI34)</f>
        <v>0</v>
      </c>
      <c r="AK34" s="152">
        <f>ROUND(B34+D34-AJ34,8)</f>
        <v>0</v>
      </c>
      <c r="AL34" s="157" t="s">
        <v>425</v>
      </c>
      <c r="AM34" s="91"/>
      <c r="AN34" s="113"/>
      <c r="AO34" s="692"/>
      <c r="AP34" s="113"/>
      <c r="AQ34" s="89"/>
      <c r="AR34" s="89"/>
    </row>
    <row r="35" spans="1:46" ht="22.5" hidden="1" customHeight="1" outlineLevel="1" x14ac:dyDescent="0.2">
      <c r="A35" s="165" t="s">
        <v>424</v>
      </c>
      <c r="B35" s="156"/>
      <c r="C35" s="170" t="str">
        <f>Januar!C35</f>
        <v>Diverses</v>
      </c>
      <c r="D35" s="162">
        <f>Mai!AK35</f>
        <v>0</v>
      </c>
      <c r="E35" s="171"/>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c r="AJ35" s="174">
        <f t="shared" si="11"/>
        <v>0</v>
      </c>
      <c r="AK35" s="152">
        <f>ROUND(B35+D35+AJ35,8)</f>
        <v>0</v>
      </c>
      <c r="AL35" s="157" t="s">
        <v>359</v>
      </c>
      <c r="AM35" s="91"/>
      <c r="AN35" s="113"/>
      <c r="AO35" s="692"/>
      <c r="AP35" s="113"/>
      <c r="AQ35" s="89"/>
      <c r="AR35" s="89"/>
    </row>
    <row r="36" spans="1:46" ht="22.5" hidden="1" customHeight="1" outlineLevel="1" x14ac:dyDescent="0.2">
      <c r="A36" s="165" t="s">
        <v>424</v>
      </c>
      <c r="B36" s="156"/>
      <c r="C36" s="170" t="str">
        <f>Januar!C36</f>
        <v>freie Zeile 1</v>
      </c>
      <c r="D36" s="162">
        <f>Mai!AK36</f>
        <v>0</v>
      </c>
      <c r="E36" s="171"/>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c r="AJ36" s="174">
        <f>SUM(E36:AI36)</f>
        <v>0</v>
      </c>
      <c r="AK36" s="152">
        <f>ROUND(B36+D36+AJ36,8)</f>
        <v>0</v>
      </c>
      <c r="AL36" s="157" t="s">
        <v>359</v>
      </c>
      <c r="AM36" s="91"/>
      <c r="AN36" s="113"/>
      <c r="AO36" s="692"/>
      <c r="AP36" s="113"/>
      <c r="AQ36" s="89"/>
      <c r="AR36" s="89"/>
    </row>
    <row r="37" spans="1:46" ht="22.5" hidden="1" customHeight="1" outlineLevel="1" x14ac:dyDescent="0.2">
      <c r="A37" s="165" t="s">
        <v>424</v>
      </c>
      <c r="B37" s="156"/>
      <c r="C37" s="170" t="str">
        <f>Januar!C37</f>
        <v>freie Zeile 2</v>
      </c>
      <c r="D37" s="162">
        <f>Mai!AK37</f>
        <v>0</v>
      </c>
      <c r="E37" s="171"/>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3"/>
      <c r="AJ37" s="174">
        <f>SUM(E37:AI37)</f>
        <v>0</v>
      </c>
      <c r="AK37" s="152">
        <f>ROUND(B37+D37+AJ37,8)</f>
        <v>0</v>
      </c>
      <c r="AL37" s="157" t="s">
        <v>359</v>
      </c>
      <c r="AM37" s="91"/>
      <c r="AN37" s="113"/>
      <c r="AO37" s="692"/>
      <c r="AP37" s="113"/>
      <c r="AQ37" s="89"/>
      <c r="AR37" s="89"/>
    </row>
    <row r="38" spans="1:46" ht="22.5" hidden="1" customHeight="1" outlineLevel="1" x14ac:dyDescent="0.2">
      <c r="A38" s="165" t="s">
        <v>424</v>
      </c>
      <c r="B38" s="156"/>
      <c r="C38" s="175" t="str">
        <f>Januar!C38</f>
        <v>freie Zeile 3</v>
      </c>
      <c r="D38" s="162">
        <f>Mai!AK38</f>
        <v>0</v>
      </c>
      <c r="E38" s="176"/>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8"/>
      <c r="AJ38" s="142">
        <f>SUM(E38:AI38)</f>
        <v>0</v>
      </c>
      <c r="AK38" s="912">
        <f>ROUND(B38+D38+AJ38,8)</f>
        <v>0</v>
      </c>
      <c r="AL38" s="157" t="s">
        <v>359</v>
      </c>
      <c r="AM38" s="91"/>
      <c r="AN38" s="113"/>
      <c r="AO38" s="692"/>
      <c r="AP38" s="113"/>
      <c r="AQ38" s="89"/>
      <c r="AR38" s="89"/>
    </row>
    <row r="39" spans="1:46" s="34" customFormat="1" hidden="1" outlineLevel="1" x14ac:dyDescent="0.2">
      <c r="A39" s="179"/>
      <c r="B39" s="180"/>
      <c r="C39" s="918" t="str">
        <f>Januar!C39</f>
        <v>Arbeitszeit aufgeteilt</v>
      </c>
      <c r="D39" s="150">
        <f>Mai!AK39</f>
        <v>0</v>
      </c>
      <c r="E39" s="1062">
        <f>ROUND(SUM(E41:E84),8)</f>
        <v>0</v>
      </c>
      <c r="F39" s="1063">
        <f>ROUND(SUM(F41:F84),8)</f>
        <v>0</v>
      </c>
      <c r="G39" s="1063">
        <f>ROUND(SUM(G41:G84),8)</f>
        <v>0</v>
      </c>
      <c r="H39" s="1063">
        <f t="shared" ref="H39:AI39" si="12">ROUND(SUM(H41:H84),8)</f>
        <v>0</v>
      </c>
      <c r="I39" s="1063">
        <f t="shared" si="12"/>
        <v>0</v>
      </c>
      <c r="J39" s="1063">
        <f t="shared" si="12"/>
        <v>0</v>
      </c>
      <c r="K39" s="1063">
        <f t="shared" si="12"/>
        <v>0</v>
      </c>
      <c r="L39" s="1063">
        <f t="shared" si="12"/>
        <v>0</v>
      </c>
      <c r="M39" s="1063">
        <f t="shared" si="12"/>
        <v>0</v>
      </c>
      <c r="N39" s="1063">
        <f t="shared" si="12"/>
        <v>0</v>
      </c>
      <c r="O39" s="1063">
        <f t="shared" si="12"/>
        <v>0</v>
      </c>
      <c r="P39" s="1063">
        <f t="shared" si="12"/>
        <v>0</v>
      </c>
      <c r="Q39" s="1063">
        <f t="shared" si="12"/>
        <v>0</v>
      </c>
      <c r="R39" s="1063">
        <f t="shared" si="12"/>
        <v>0</v>
      </c>
      <c r="S39" s="1063">
        <f t="shared" si="12"/>
        <v>0</v>
      </c>
      <c r="T39" s="1063">
        <f t="shared" si="12"/>
        <v>0</v>
      </c>
      <c r="U39" s="1063">
        <f t="shared" si="12"/>
        <v>0</v>
      </c>
      <c r="V39" s="1063">
        <f t="shared" si="12"/>
        <v>0</v>
      </c>
      <c r="W39" s="1063">
        <f t="shared" si="12"/>
        <v>0</v>
      </c>
      <c r="X39" s="1063">
        <f t="shared" si="12"/>
        <v>0</v>
      </c>
      <c r="Y39" s="1063">
        <f t="shared" si="12"/>
        <v>0</v>
      </c>
      <c r="Z39" s="1063">
        <f t="shared" si="12"/>
        <v>0</v>
      </c>
      <c r="AA39" s="1063">
        <f t="shared" si="12"/>
        <v>0</v>
      </c>
      <c r="AB39" s="1063">
        <f t="shared" si="12"/>
        <v>0</v>
      </c>
      <c r="AC39" s="1063">
        <f t="shared" si="12"/>
        <v>0</v>
      </c>
      <c r="AD39" s="1063">
        <f t="shared" si="12"/>
        <v>0</v>
      </c>
      <c r="AE39" s="1063">
        <f t="shared" si="12"/>
        <v>0</v>
      </c>
      <c r="AF39" s="1063">
        <f t="shared" si="12"/>
        <v>0</v>
      </c>
      <c r="AG39" s="1063">
        <f t="shared" si="12"/>
        <v>0</v>
      </c>
      <c r="AH39" s="1063">
        <f t="shared" si="12"/>
        <v>0</v>
      </c>
      <c r="AI39" s="1064">
        <f t="shared" si="12"/>
        <v>0</v>
      </c>
      <c r="AJ39" s="969"/>
      <c r="AK39" s="1065"/>
      <c r="AL39" s="13"/>
      <c r="AM39" s="181"/>
      <c r="AN39" s="182"/>
      <c r="AT39" s="8"/>
    </row>
    <row r="40" spans="1:46" s="34" customFormat="1" ht="42" customHeight="1" collapsed="1" x14ac:dyDescent="0.2">
      <c r="A40" s="179"/>
      <c r="B40" s="180"/>
      <c r="C40" s="919" t="str">
        <f>Januar!C40</f>
        <v>in folgenden Bereichen nicht oder zuviel aufgeteilte Arbeitszeit</v>
      </c>
      <c r="D40" s="920"/>
      <c r="E40" s="921">
        <f t="shared" ref="E40:AI40" si="13">ROUND(IF(E13=E39,0,IF(E13&lt;&gt;0,E13-E39,0)),8)</f>
        <v>0</v>
      </c>
      <c r="F40" s="922">
        <f t="shared" si="13"/>
        <v>0</v>
      </c>
      <c r="G40" s="922">
        <f t="shared" si="13"/>
        <v>0</v>
      </c>
      <c r="H40" s="922">
        <f t="shared" si="13"/>
        <v>0</v>
      </c>
      <c r="I40" s="922">
        <f t="shared" si="13"/>
        <v>0</v>
      </c>
      <c r="J40" s="922">
        <f t="shared" si="13"/>
        <v>0</v>
      </c>
      <c r="K40" s="922">
        <f t="shared" si="13"/>
        <v>0</v>
      </c>
      <c r="L40" s="922">
        <f t="shared" si="13"/>
        <v>0</v>
      </c>
      <c r="M40" s="922">
        <f t="shared" si="13"/>
        <v>0</v>
      </c>
      <c r="N40" s="922">
        <f t="shared" si="13"/>
        <v>0</v>
      </c>
      <c r="O40" s="922">
        <f t="shared" si="13"/>
        <v>0</v>
      </c>
      <c r="P40" s="922">
        <f t="shared" si="13"/>
        <v>0</v>
      </c>
      <c r="Q40" s="922">
        <f t="shared" si="13"/>
        <v>0</v>
      </c>
      <c r="R40" s="922">
        <f t="shared" si="13"/>
        <v>0</v>
      </c>
      <c r="S40" s="922">
        <f t="shared" si="13"/>
        <v>0</v>
      </c>
      <c r="T40" s="922">
        <f t="shared" si="13"/>
        <v>0</v>
      </c>
      <c r="U40" s="922">
        <f t="shared" si="13"/>
        <v>0</v>
      </c>
      <c r="V40" s="922">
        <f t="shared" si="13"/>
        <v>0</v>
      </c>
      <c r="W40" s="922">
        <f t="shared" si="13"/>
        <v>0</v>
      </c>
      <c r="X40" s="922">
        <f t="shared" si="13"/>
        <v>0</v>
      </c>
      <c r="Y40" s="922">
        <f t="shared" si="13"/>
        <v>0</v>
      </c>
      <c r="Z40" s="922">
        <f t="shared" si="13"/>
        <v>0</v>
      </c>
      <c r="AA40" s="922">
        <f t="shared" si="13"/>
        <v>0</v>
      </c>
      <c r="AB40" s="922">
        <f t="shared" si="13"/>
        <v>0</v>
      </c>
      <c r="AC40" s="922">
        <f t="shared" si="13"/>
        <v>0</v>
      </c>
      <c r="AD40" s="922">
        <f t="shared" si="13"/>
        <v>0</v>
      </c>
      <c r="AE40" s="922">
        <f t="shared" si="13"/>
        <v>0</v>
      </c>
      <c r="AF40" s="922">
        <f t="shared" si="13"/>
        <v>0</v>
      </c>
      <c r="AG40" s="922">
        <f t="shared" si="13"/>
        <v>0</v>
      </c>
      <c r="AH40" s="922">
        <f t="shared" si="13"/>
        <v>0</v>
      </c>
      <c r="AI40" s="923">
        <f t="shared" si="13"/>
        <v>0</v>
      </c>
      <c r="AJ40" s="183"/>
      <c r="AK40" s="924"/>
      <c r="AL40" s="13"/>
      <c r="AM40" s="181"/>
      <c r="AN40" s="182"/>
    </row>
    <row r="41" spans="1:46" s="37" customFormat="1" x14ac:dyDescent="0.2">
      <c r="A41" s="148"/>
      <c r="B41" s="1066" t="str">
        <f>ctArbeitsgebiete!A9</f>
        <v>A01</v>
      </c>
      <c r="C41" s="1067" t="str">
        <f>IF(ctArbeitsgebiete!B9&lt;&gt;"",ctArbeitsgebiete!B9,"")</f>
        <v/>
      </c>
      <c r="D41" s="1068"/>
      <c r="E41" s="1069"/>
      <c r="F41" s="1070"/>
      <c r="G41" s="1070"/>
      <c r="H41" s="1070"/>
      <c r="I41" s="1070"/>
      <c r="J41" s="1070"/>
      <c r="K41" s="1070"/>
      <c r="L41" s="1070"/>
      <c r="M41" s="1070"/>
      <c r="N41" s="1070"/>
      <c r="O41" s="1070"/>
      <c r="P41" s="1070"/>
      <c r="Q41" s="1070"/>
      <c r="R41" s="1070"/>
      <c r="S41" s="1070"/>
      <c r="T41" s="1070"/>
      <c r="U41" s="1070"/>
      <c r="V41" s="1070"/>
      <c r="W41" s="1070"/>
      <c r="X41" s="1070"/>
      <c r="Y41" s="1070"/>
      <c r="Z41" s="1070"/>
      <c r="AA41" s="1070"/>
      <c r="AB41" s="1070"/>
      <c r="AC41" s="1070"/>
      <c r="AD41" s="1070"/>
      <c r="AE41" s="1070"/>
      <c r="AF41" s="1070"/>
      <c r="AG41" s="1070"/>
      <c r="AH41" s="1070"/>
      <c r="AI41" s="1071"/>
      <c r="AJ41" s="1072">
        <f>SUM(E41:AI41)</f>
        <v>0</v>
      </c>
      <c r="AK41" s="152"/>
      <c r="AL41" s="146"/>
      <c r="AM41" s="147"/>
      <c r="AN41" s="147"/>
      <c r="AO41" s="147"/>
      <c r="AP41" s="147"/>
      <c r="AQ41" s="147"/>
      <c r="AR41" s="147"/>
      <c r="AS41" s="88"/>
      <c r="AT41" s="34"/>
    </row>
    <row r="42" spans="1:46" x14ac:dyDescent="0.2">
      <c r="A42" s="165"/>
      <c r="B42" s="185" t="str">
        <f>ctArbeitsgebiete!A10</f>
        <v>A02</v>
      </c>
      <c r="C42" s="186" t="str">
        <f>IF(ctArbeitsgebiete!B10&lt;&gt;"",ctArbeitsgebiete!B10,"")</f>
        <v/>
      </c>
      <c r="D42" s="187"/>
      <c r="E42" s="913"/>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322"/>
      <c r="AJ42" s="188">
        <f t="shared" ref="AJ42:AJ84" si="14">SUM(E42:AI42)</f>
        <v>0</v>
      </c>
      <c r="AK42" s="152"/>
      <c r="AL42" s="113"/>
      <c r="AM42" s="89"/>
      <c r="AN42" s="89"/>
      <c r="AO42" s="89"/>
      <c r="AP42" s="89"/>
      <c r="AQ42" s="89"/>
      <c r="AR42" s="89"/>
      <c r="AT42" s="88"/>
    </row>
    <row r="43" spans="1:46" x14ac:dyDescent="0.2">
      <c r="A43" s="165"/>
      <c r="B43" s="185" t="str">
        <f>ctArbeitsgebiete!A11</f>
        <v>A03</v>
      </c>
      <c r="C43" s="186" t="str">
        <f>IF(ctArbeitsgebiete!B11&lt;&gt;"",ctArbeitsgebiete!B11,"")</f>
        <v/>
      </c>
      <c r="D43" s="187"/>
      <c r="E43" s="913"/>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22"/>
      <c r="AJ43" s="188">
        <f t="shared" si="14"/>
        <v>0</v>
      </c>
      <c r="AK43" s="152"/>
      <c r="AL43" s="113"/>
      <c r="AM43" s="89"/>
      <c r="AN43" s="89"/>
      <c r="AO43" s="89"/>
      <c r="AP43" s="89"/>
      <c r="AQ43" s="89"/>
      <c r="AR43" s="89"/>
    </row>
    <row r="44" spans="1:46" x14ac:dyDescent="0.2">
      <c r="A44" s="165"/>
      <c r="B44" s="185" t="str">
        <f>ctArbeitsgebiete!A12</f>
        <v>A04</v>
      </c>
      <c r="C44" s="186" t="str">
        <f>IF(ctArbeitsgebiete!B12&lt;&gt;"",ctArbeitsgebiete!B12,"")</f>
        <v/>
      </c>
      <c r="D44" s="187"/>
      <c r="E44" s="913"/>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322"/>
      <c r="AJ44" s="188">
        <f t="shared" si="14"/>
        <v>0</v>
      </c>
      <c r="AK44" s="152"/>
      <c r="AL44" s="113"/>
      <c r="AM44" s="89"/>
      <c r="AN44" s="89"/>
      <c r="AO44" s="89"/>
      <c r="AP44" s="89"/>
      <c r="AQ44" s="89"/>
      <c r="AR44" s="89"/>
    </row>
    <row r="45" spans="1:46" x14ac:dyDescent="0.2">
      <c r="A45" s="165"/>
      <c r="B45" s="185" t="str">
        <f>ctArbeitsgebiete!A13</f>
        <v>A05</v>
      </c>
      <c r="C45" s="186" t="str">
        <f>IF(ctArbeitsgebiete!B13&lt;&gt;"",ctArbeitsgebiete!B13,"")</f>
        <v/>
      </c>
      <c r="D45" s="187"/>
      <c r="E45" s="913"/>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322"/>
      <c r="AJ45" s="188">
        <f t="shared" si="14"/>
        <v>0</v>
      </c>
      <c r="AK45" s="152"/>
      <c r="AL45" s="113"/>
      <c r="AM45" s="89"/>
      <c r="AN45" s="89"/>
      <c r="AO45" s="89"/>
      <c r="AP45" s="89"/>
      <c r="AQ45" s="89"/>
      <c r="AR45" s="89"/>
    </row>
    <row r="46" spans="1:46" x14ac:dyDescent="0.2">
      <c r="A46" s="165"/>
      <c r="B46" s="185" t="str">
        <f>ctArbeitsgebiete!A14</f>
        <v>A06</v>
      </c>
      <c r="C46" s="186" t="str">
        <f>IF(ctArbeitsgebiete!B14&lt;&gt;"",ctArbeitsgebiete!B14,"")</f>
        <v/>
      </c>
      <c r="D46" s="187"/>
      <c r="E46" s="913"/>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322"/>
      <c r="AJ46" s="188">
        <f t="shared" si="14"/>
        <v>0</v>
      </c>
      <c r="AK46" s="152"/>
      <c r="AL46" s="113"/>
      <c r="AM46" s="89"/>
      <c r="AN46" s="89"/>
      <c r="AO46" s="89"/>
      <c r="AP46" s="89"/>
      <c r="AQ46" s="89"/>
      <c r="AR46" s="89"/>
    </row>
    <row r="47" spans="1:46" x14ac:dyDescent="0.2">
      <c r="A47" s="165"/>
      <c r="B47" s="185" t="str">
        <f>ctArbeitsgebiete!A15</f>
        <v>A07</v>
      </c>
      <c r="C47" s="186" t="str">
        <f>IF(ctArbeitsgebiete!B15&lt;&gt;"",ctArbeitsgebiete!B15,"")</f>
        <v/>
      </c>
      <c r="D47" s="187"/>
      <c r="E47" s="913"/>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322"/>
      <c r="AJ47" s="188">
        <f t="shared" si="14"/>
        <v>0</v>
      </c>
      <c r="AK47" s="152"/>
      <c r="AL47" s="113"/>
      <c r="AM47" s="89"/>
      <c r="AN47" s="89"/>
      <c r="AO47" s="89"/>
      <c r="AP47" s="89"/>
      <c r="AQ47" s="89"/>
      <c r="AR47" s="89"/>
    </row>
    <row r="48" spans="1:46" x14ac:dyDescent="0.2">
      <c r="A48" s="165"/>
      <c r="B48" s="185" t="str">
        <f>ctArbeitsgebiete!A16</f>
        <v>A08</v>
      </c>
      <c r="C48" s="186" t="str">
        <f>IF(ctArbeitsgebiete!B16&lt;&gt;"",ctArbeitsgebiete!B16,"")</f>
        <v/>
      </c>
      <c r="D48" s="187"/>
      <c r="E48" s="913"/>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322"/>
      <c r="AJ48" s="188">
        <f t="shared" si="14"/>
        <v>0</v>
      </c>
      <c r="AK48" s="152"/>
      <c r="AL48" s="113"/>
      <c r="AM48" s="89"/>
      <c r="AN48" s="89"/>
      <c r="AO48" s="89"/>
      <c r="AP48" s="89"/>
      <c r="AQ48" s="89"/>
      <c r="AR48" s="89"/>
    </row>
    <row r="49" spans="1:44" x14ac:dyDescent="0.2">
      <c r="A49" s="165"/>
      <c r="B49" s="185" t="str">
        <f>ctArbeitsgebiete!A17</f>
        <v>A09</v>
      </c>
      <c r="C49" s="186" t="str">
        <f>IF(ctArbeitsgebiete!B17&lt;&gt;"",ctArbeitsgebiete!B17,"")</f>
        <v/>
      </c>
      <c r="D49" s="187"/>
      <c r="E49" s="913"/>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322"/>
      <c r="AJ49" s="188">
        <f t="shared" si="14"/>
        <v>0</v>
      </c>
      <c r="AK49" s="152"/>
      <c r="AL49" s="113"/>
      <c r="AM49" s="89"/>
      <c r="AN49" s="89"/>
      <c r="AO49" s="89"/>
      <c r="AP49" s="89"/>
      <c r="AQ49" s="89"/>
      <c r="AR49" s="89"/>
    </row>
    <row r="50" spans="1:44" x14ac:dyDescent="0.2">
      <c r="A50" s="165"/>
      <c r="B50" s="185" t="str">
        <f>ctArbeitsgebiete!A18</f>
        <v>A10</v>
      </c>
      <c r="C50" s="186" t="str">
        <f>IF(ctArbeitsgebiete!B18&lt;&gt;"",ctArbeitsgebiete!B18,"")</f>
        <v/>
      </c>
      <c r="D50" s="187"/>
      <c r="E50" s="913"/>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322"/>
      <c r="AJ50" s="188">
        <f t="shared" si="14"/>
        <v>0</v>
      </c>
      <c r="AK50" s="152"/>
      <c r="AL50" s="113"/>
      <c r="AM50" s="89"/>
      <c r="AN50" s="89"/>
      <c r="AO50" s="89"/>
      <c r="AP50" s="89"/>
      <c r="AQ50" s="89"/>
      <c r="AR50" s="89"/>
    </row>
    <row r="51" spans="1:44" x14ac:dyDescent="0.2">
      <c r="A51" s="165"/>
      <c r="B51" s="185" t="str">
        <f>ctArbeitsgebiete!A19</f>
        <v>A11</v>
      </c>
      <c r="C51" s="186" t="str">
        <f>IF(ctArbeitsgebiete!B19&lt;&gt;"",ctArbeitsgebiete!B19,"")</f>
        <v/>
      </c>
      <c r="D51" s="187"/>
      <c r="E51" s="913"/>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322"/>
      <c r="AJ51" s="188">
        <f t="shared" si="14"/>
        <v>0</v>
      </c>
      <c r="AK51" s="152"/>
      <c r="AL51" s="113"/>
      <c r="AM51" s="89"/>
      <c r="AN51" s="89"/>
      <c r="AO51" s="89"/>
      <c r="AP51" s="89"/>
      <c r="AQ51" s="89"/>
      <c r="AR51" s="89"/>
    </row>
    <row r="52" spans="1:44" x14ac:dyDescent="0.2">
      <c r="A52" s="165"/>
      <c r="B52" s="185" t="str">
        <f>ctArbeitsgebiete!A20</f>
        <v>A12</v>
      </c>
      <c r="C52" s="186" t="str">
        <f>IF(ctArbeitsgebiete!B20&lt;&gt;"",ctArbeitsgebiete!B20,"")</f>
        <v/>
      </c>
      <c r="D52" s="187"/>
      <c r="E52" s="913"/>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322"/>
      <c r="AJ52" s="188">
        <f t="shared" si="14"/>
        <v>0</v>
      </c>
      <c r="AK52" s="152"/>
      <c r="AL52" s="113"/>
      <c r="AM52" s="89"/>
      <c r="AN52" s="89"/>
      <c r="AO52" s="89"/>
      <c r="AP52" s="89"/>
      <c r="AQ52" s="89"/>
      <c r="AR52" s="89"/>
    </row>
    <row r="53" spans="1:44" x14ac:dyDescent="0.2">
      <c r="A53" s="165"/>
      <c r="B53" s="185" t="str">
        <f>ctArbeitsgebiete!A21</f>
        <v>A13</v>
      </c>
      <c r="C53" s="186" t="str">
        <f>IF(ctArbeitsgebiete!B21&lt;&gt;"",ctArbeitsgebiete!B21,"")</f>
        <v/>
      </c>
      <c r="D53" s="187"/>
      <c r="E53" s="913"/>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322"/>
      <c r="AJ53" s="188">
        <f t="shared" si="14"/>
        <v>0</v>
      </c>
      <c r="AK53" s="152"/>
      <c r="AL53" s="113"/>
      <c r="AM53" s="89"/>
      <c r="AN53" s="89"/>
      <c r="AO53" s="89"/>
      <c r="AP53" s="89"/>
      <c r="AQ53" s="89"/>
      <c r="AR53" s="89"/>
    </row>
    <row r="54" spans="1:44" x14ac:dyDescent="0.2">
      <c r="A54" s="165"/>
      <c r="B54" s="185" t="str">
        <f>ctArbeitsgebiete!A22</f>
        <v>A14</v>
      </c>
      <c r="C54" s="186" t="str">
        <f>IF(ctArbeitsgebiete!B22&lt;&gt;"",ctArbeitsgebiete!B22,"")</f>
        <v/>
      </c>
      <c r="D54" s="187"/>
      <c r="E54" s="913"/>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322"/>
      <c r="AJ54" s="188">
        <f t="shared" si="14"/>
        <v>0</v>
      </c>
      <c r="AK54" s="152"/>
      <c r="AL54" s="113"/>
      <c r="AM54" s="89"/>
      <c r="AN54" s="89"/>
      <c r="AO54" s="89"/>
      <c r="AP54" s="89"/>
      <c r="AQ54" s="89"/>
      <c r="AR54" s="89"/>
    </row>
    <row r="55" spans="1:44" x14ac:dyDescent="0.2">
      <c r="A55" s="165"/>
      <c r="B55" s="185" t="str">
        <f>ctArbeitsgebiete!A23</f>
        <v>A15</v>
      </c>
      <c r="C55" s="186" t="str">
        <f>IF(ctArbeitsgebiete!B23&lt;&gt;"",ctArbeitsgebiete!B23,"")</f>
        <v/>
      </c>
      <c r="D55" s="187"/>
      <c r="E55" s="913"/>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322"/>
      <c r="AJ55" s="188">
        <f t="shared" si="14"/>
        <v>0</v>
      </c>
      <c r="AK55" s="152"/>
      <c r="AL55" s="113"/>
      <c r="AM55" s="89"/>
      <c r="AN55" s="89"/>
      <c r="AO55" s="89"/>
      <c r="AP55" s="89"/>
      <c r="AQ55" s="89"/>
      <c r="AR55" s="89"/>
    </row>
    <row r="56" spans="1:44" x14ac:dyDescent="0.2">
      <c r="A56" s="165"/>
      <c r="B56" s="189" t="str">
        <f>ctArbeitsgebiete!A24</f>
        <v>A16</v>
      </c>
      <c r="C56" s="190" t="str">
        <f>IF(ctArbeitsgebiete!B24&lt;&gt;"",ctArbeitsgebiete!B24,"")</f>
        <v/>
      </c>
      <c r="D56" s="191"/>
      <c r="E56" s="914"/>
      <c r="F56" s="915"/>
      <c r="G56" s="915"/>
      <c r="H56" s="915"/>
      <c r="I56" s="915"/>
      <c r="J56" s="915"/>
      <c r="K56" s="915"/>
      <c r="L56" s="915"/>
      <c r="M56" s="915"/>
      <c r="N56" s="915"/>
      <c r="O56" s="915"/>
      <c r="P56" s="915"/>
      <c r="Q56" s="915"/>
      <c r="R56" s="915"/>
      <c r="S56" s="915"/>
      <c r="T56" s="915"/>
      <c r="U56" s="915"/>
      <c r="V56" s="915"/>
      <c r="W56" s="915"/>
      <c r="X56" s="915"/>
      <c r="Y56" s="915"/>
      <c r="Z56" s="915"/>
      <c r="AA56" s="915"/>
      <c r="AB56" s="915"/>
      <c r="AC56" s="915"/>
      <c r="AD56" s="915"/>
      <c r="AE56" s="915"/>
      <c r="AF56" s="915"/>
      <c r="AG56" s="915"/>
      <c r="AH56" s="915"/>
      <c r="AI56" s="916"/>
      <c r="AJ56" s="192">
        <f t="shared" si="14"/>
        <v>0</v>
      </c>
      <c r="AK56" s="912"/>
      <c r="AL56" s="113"/>
      <c r="AM56" s="89"/>
      <c r="AN56" s="89"/>
      <c r="AO56" s="89"/>
      <c r="AP56" s="89"/>
      <c r="AQ56" s="89"/>
      <c r="AR56" s="89"/>
    </row>
    <row r="57" spans="1:44" x14ac:dyDescent="0.2">
      <c r="A57" s="165"/>
      <c r="B57" s="1066" t="str">
        <f>ctArbeitsgebiete!D9</f>
        <v>B01</v>
      </c>
      <c r="C57" s="1073" t="str">
        <f>IF(ctArbeitsgebiete!E9&lt;&gt;"",ctArbeitsgebiete!E9,"")</f>
        <v/>
      </c>
      <c r="D57" s="1074" t="str">
        <f>IF(ctArbeitsgebiete!F9&lt;&gt;"",ctArbeitsgebiete!F9,"")</f>
        <v/>
      </c>
      <c r="E57" s="1069"/>
      <c r="F57" s="1070"/>
      <c r="G57" s="1070"/>
      <c r="H57" s="1070"/>
      <c r="I57" s="1070"/>
      <c r="J57" s="1070"/>
      <c r="K57" s="1070"/>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0"/>
      <c r="AH57" s="1070"/>
      <c r="AI57" s="1071"/>
      <c r="AJ57" s="1075">
        <f t="shared" si="14"/>
        <v>0</v>
      </c>
      <c r="AK57" s="1060"/>
      <c r="AL57" s="113"/>
      <c r="AM57" s="89"/>
      <c r="AN57" s="89"/>
      <c r="AO57" s="89"/>
      <c r="AP57" s="89"/>
      <c r="AQ57" s="89"/>
      <c r="AR57" s="89"/>
    </row>
    <row r="58" spans="1:44" x14ac:dyDescent="0.2">
      <c r="A58" s="165"/>
      <c r="B58" s="185" t="str">
        <f>ctArbeitsgebiete!D10</f>
        <v>B02</v>
      </c>
      <c r="C58" s="193" t="str">
        <f>IF(ctArbeitsgebiete!E10&lt;&gt;"",ctArbeitsgebiete!E10,"")</f>
        <v/>
      </c>
      <c r="D58" s="194"/>
      <c r="E58" s="913"/>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322"/>
      <c r="AJ58" s="195">
        <f t="shared" si="14"/>
        <v>0</v>
      </c>
      <c r="AK58" s="152"/>
      <c r="AL58" s="113"/>
      <c r="AM58" s="89"/>
      <c r="AN58" s="89"/>
      <c r="AO58" s="89"/>
      <c r="AP58" s="89"/>
      <c r="AQ58" s="89"/>
      <c r="AR58" s="89"/>
    </row>
    <row r="59" spans="1:44" x14ac:dyDescent="0.2">
      <c r="A59" s="165"/>
      <c r="B59" s="185" t="str">
        <f>ctArbeitsgebiete!D11</f>
        <v>B03</v>
      </c>
      <c r="C59" s="193" t="str">
        <f>IF(ctArbeitsgebiete!E11&lt;&gt;"",ctArbeitsgebiete!E11,"")</f>
        <v/>
      </c>
      <c r="D59" s="194"/>
      <c r="E59" s="913"/>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322"/>
      <c r="AJ59" s="195">
        <f t="shared" si="14"/>
        <v>0</v>
      </c>
      <c r="AK59" s="152"/>
      <c r="AL59" s="113"/>
      <c r="AM59" s="89"/>
      <c r="AN59" s="89"/>
      <c r="AO59" s="89"/>
      <c r="AP59" s="89"/>
      <c r="AQ59" s="89"/>
      <c r="AR59" s="89"/>
    </row>
    <row r="60" spans="1:44" x14ac:dyDescent="0.2">
      <c r="A60" s="165"/>
      <c r="B60" s="185" t="str">
        <f>ctArbeitsgebiete!D12</f>
        <v>B04</v>
      </c>
      <c r="C60" s="193" t="str">
        <f>IF(ctArbeitsgebiete!E12&lt;&gt;"",ctArbeitsgebiete!E12,"")</f>
        <v/>
      </c>
      <c r="D60" s="194"/>
      <c r="E60" s="913"/>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322"/>
      <c r="AJ60" s="195">
        <f t="shared" si="14"/>
        <v>0</v>
      </c>
      <c r="AK60" s="152"/>
      <c r="AL60" s="113"/>
      <c r="AM60" s="89"/>
      <c r="AN60" s="89"/>
      <c r="AO60" s="89"/>
      <c r="AP60" s="89"/>
      <c r="AQ60" s="89"/>
      <c r="AR60" s="89"/>
    </row>
    <row r="61" spans="1:44" x14ac:dyDescent="0.2">
      <c r="A61" s="165"/>
      <c r="B61" s="185" t="str">
        <f>ctArbeitsgebiete!D13</f>
        <v>B05</v>
      </c>
      <c r="C61" s="193" t="str">
        <f>IF(ctArbeitsgebiete!E13&lt;&gt;"",ctArbeitsgebiete!E13,"")</f>
        <v/>
      </c>
      <c r="D61" s="194"/>
      <c r="E61" s="913"/>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322"/>
      <c r="AJ61" s="195">
        <f t="shared" si="14"/>
        <v>0</v>
      </c>
      <c r="AK61" s="152"/>
      <c r="AL61" s="113"/>
      <c r="AM61" s="89"/>
      <c r="AN61" s="89"/>
      <c r="AO61" s="89"/>
      <c r="AP61" s="89"/>
      <c r="AQ61" s="89"/>
      <c r="AR61" s="89"/>
    </row>
    <row r="62" spans="1:44" x14ac:dyDescent="0.2">
      <c r="A62" s="165"/>
      <c r="B62" s="185" t="str">
        <f>ctArbeitsgebiete!D14</f>
        <v>B06</v>
      </c>
      <c r="C62" s="193" t="str">
        <f>IF(ctArbeitsgebiete!E14&lt;&gt;"",ctArbeitsgebiete!E14,"")</f>
        <v/>
      </c>
      <c r="D62" s="194"/>
      <c r="E62" s="913"/>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322"/>
      <c r="AJ62" s="195">
        <f t="shared" si="14"/>
        <v>0</v>
      </c>
      <c r="AK62" s="152"/>
      <c r="AL62" s="113"/>
      <c r="AM62" s="89"/>
      <c r="AN62" s="89"/>
      <c r="AO62" s="89"/>
      <c r="AP62" s="89"/>
      <c r="AQ62" s="89"/>
      <c r="AR62" s="89"/>
    </row>
    <row r="63" spans="1:44" x14ac:dyDescent="0.2">
      <c r="A63" s="165"/>
      <c r="B63" s="185" t="str">
        <f>ctArbeitsgebiete!D15</f>
        <v>B07</v>
      </c>
      <c r="C63" s="193" t="str">
        <f>IF(ctArbeitsgebiete!E15&lt;&gt;"",ctArbeitsgebiete!E15,"")</f>
        <v/>
      </c>
      <c r="D63" s="194"/>
      <c r="E63" s="913"/>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322"/>
      <c r="AJ63" s="195">
        <f t="shared" si="14"/>
        <v>0</v>
      </c>
      <c r="AK63" s="152"/>
      <c r="AL63" s="113"/>
      <c r="AM63" s="89"/>
      <c r="AN63" s="89"/>
      <c r="AO63" s="89"/>
      <c r="AP63" s="89"/>
      <c r="AQ63" s="89"/>
      <c r="AR63" s="89"/>
    </row>
    <row r="64" spans="1:44" x14ac:dyDescent="0.2">
      <c r="A64" s="165"/>
      <c r="B64" s="185" t="str">
        <f>ctArbeitsgebiete!D16</f>
        <v>B08</v>
      </c>
      <c r="C64" s="193" t="str">
        <f>IF(ctArbeitsgebiete!E16&lt;&gt;"",ctArbeitsgebiete!E16,"")</f>
        <v/>
      </c>
      <c r="D64" s="194"/>
      <c r="E64" s="913"/>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322"/>
      <c r="AJ64" s="195">
        <f t="shared" si="14"/>
        <v>0</v>
      </c>
      <c r="AK64" s="152"/>
      <c r="AL64" s="113"/>
      <c r="AM64" s="89"/>
      <c r="AN64" s="89"/>
      <c r="AO64" s="89"/>
      <c r="AP64" s="89"/>
      <c r="AQ64" s="89"/>
      <c r="AR64" s="89"/>
    </row>
    <row r="65" spans="1:44" x14ac:dyDescent="0.2">
      <c r="A65" s="165"/>
      <c r="B65" s="185" t="str">
        <f>ctArbeitsgebiete!D17</f>
        <v>B09</v>
      </c>
      <c r="C65" s="193" t="str">
        <f>IF(ctArbeitsgebiete!E17&lt;&gt;"",ctArbeitsgebiete!E17,"")</f>
        <v/>
      </c>
      <c r="D65" s="194"/>
      <c r="E65" s="913"/>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322"/>
      <c r="AJ65" s="195">
        <f t="shared" si="14"/>
        <v>0</v>
      </c>
      <c r="AK65" s="152"/>
      <c r="AL65" s="113"/>
      <c r="AM65" s="89"/>
      <c r="AN65" s="89"/>
      <c r="AO65" s="89"/>
      <c r="AP65" s="89"/>
      <c r="AQ65" s="89"/>
      <c r="AR65" s="89"/>
    </row>
    <row r="66" spans="1:44" x14ac:dyDescent="0.2">
      <c r="A66" s="165"/>
      <c r="B66" s="185" t="str">
        <f>ctArbeitsgebiete!D18</f>
        <v>B10</v>
      </c>
      <c r="C66" s="193" t="str">
        <f>IF(ctArbeitsgebiete!E18&lt;&gt;"",ctArbeitsgebiete!E18,"")</f>
        <v/>
      </c>
      <c r="D66" s="194"/>
      <c r="E66" s="913"/>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322"/>
      <c r="AJ66" s="195">
        <f t="shared" si="14"/>
        <v>0</v>
      </c>
      <c r="AK66" s="152"/>
      <c r="AL66" s="113"/>
      <c r="AM66" s="89"/>
      <c r="AN66" s="89"/>
      <c r="AO66" s="89"/>
      <c r="AP66" s="89"/>
      <c r="AQ66" s="89"/>
      <c r="AR66" s="89"/>
    </row>
    <row r="67" spans="1:44" x14ac:dyDescent="0.2">
      <c r="A67" s="165"/>
      <c r="B67" s="185" t="str">
        <f>ctArbeitsgebiete!D19</f>
        <v>B11</v>
      </c>
      <c r="C67" s="193" t="str">
        <f>IF(ctArbeitsgebiete!E19&lt;&gt;"",ctArbeitsgebiete!E19,"")</f>
        <v/>
      </c>
      <c r="D67" s="194"/>
      <c r="E67" s="913"/>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322"/>
      <c r="AJ67" s="195">
        <f t="shared" si="14"/>
        <v>0</v>
      </c>
      <c r="AK67" s="152"/>
      <c r="AL67" s="113"/>
      <c r="AM67" s="89"/>
      <c r="AN67" s="89"/>
      <c r="AO67" s="89"/>
      <c r="AP67" s="89"/>
      <c r="AQ67" s="89"/>
      <c r="AR67" s="89"/>
    </row>
    <row r="68" spans="1:44" x14ac:dyDescent="0.2">
      <c r="A68" s="165"/>
      <c r="B68" s="189" t="str">
        <f>ctArbeitsgebiete!D20</f>
        <v>B12</v>
      </c>
      <c r="C68" s="196" t="str">
        <f>IF(ctArbeitsgebiete!E20&lt;&gt;"",ctArbeitsgebiete!E20,"")</f>
        <v/>
      </c>
      <c r="D68" s="197"/>
      <c r="E68" s="914"/>
      <c r="F68" s="915"/>
      <c r="G68" s="915"/>
      <c r="H68" s="915"/>
      <c r="I68" s="915"/>
      <c r="J68" s="915"/>
      <c r="K68" s="915"/>
      <c r="L68" s="915"/>
      <c r="M68" s="915"/>
      <c r="N68" s="915"/>
      <c r="O68" s="915"/>
      <c r="P68" s="915"/>
      <c r="Q68" s="915"/>
      <c r="R68" s="915"/>
      <c r="S68" s="915"/>
      <c r="T68" s="915"/>
      <c r="U68" s="915"/>
      <c r="V68" s="915"/>
      <c r="W68" s="915"/>
      <c r="X68" s="915"/>
      <c r="Y68" s="915"/>
      <c r="Z68" s="915"/>
      <c r="AA68" s="915"/>
      <c r="AB68" s="915"/>
      <c r="AC68" s="915"/>
      <c r="AD68" s="915"/>
      <c r="AE68" s="915"/>
      <c r="AF68" s="915"/>
      <c r="AG68" s="915"/>
      <c r="AH68" s="915"/>
      <c r="AI68" s="916"/>
      <c r="AJ68" s="198">
        <f t="shared" si="14"/>
        <v>0</v>
      </c>
      <c r="AK68" s="912"/>
      <c r="AL68" s="113"/>
      <c r="AM68" s="89"/>
      <c r="AN68" s="89"/>
      <c r="AO68" s="89"/>
      <c r="AP68" s="89"/>
      <c r="AQ68" s="89"/>
      <c r="AR68" s="89"/>
    </row>
    <row r="69" spans="1:44" x14ac:dyDescent="0.2">
      <c r="A69" s="165"/>
      <c r="B69" s="1066" t="str">
        <f>ctArbeitsgebiete!G9</f>
        <v>C01</v>
      </c>
      <c r="C69" s="1076" t="str">
        <f>IF(ctArbeitsgebiete!H9&lt;&gt;"",ctArbeitsgebiete!H9,"")</f>
        <v/>
      </c>
      <c r="D69" s="1077"/>
      <c r="E69" s="1069"/>
      <c r="F69" s="1070"/>
      <c r="G69" s="1070"/>
      <c r="H69" s="1070"/>
      <c r="I69" s="1070"/>
      <c r="J69" s="1070"/>
      <c r="K69" s="1070"/>
      <c r="L69" s="1070"/>
      <c r="M69" s="1070"/>
      <c r="N69" s="1070"/>
      <c r="O69" s="1070"/>
      <c r="P69" s="1070"/>
      <c r="Q69" s="1070"/>
      <c r="R69" s="1070"/>
      <c r="S69" s="1070"/>
      <c r="T69" s="1070"/>
      <c r="U69" s="1070"/>
      <c r="V69" s="1070"/>
      <c r="W69" s="1070"/>
      <c r="X69" s="1070"/>
      <c r="Y69" s="1070"/>
      <c r="Z69" s="1070"/>
      <c r="AA69" s="1070"/>
      <c r="AB69" s="1070"/>
      <c r="AC69" s="1070"/>
      <c r="AD69" s="1070"/>
      <c r="AE69" s="1070"/>
      <c r="AF69" s="1070"/>
      <c r="AG69" s="1070"/>
      <c r="AH69" s="1070"/>
      <c r="AI69" s="1071"/>
      <c r="AJ69" s="1078">
        <f t="shared" si="14"/>
        <v>0</v>
      </c>
      <c r="AK69" s="1060"/>
      <c r="AL69" s="113"/>
      <c r="AM69" s="89"/>
      <c r="AN69" s="89"/>
      <c r="AO69" s="89"/>
      <c r="AP69" s="89"/>
      <c r="AQ69" s="89"/>
      <c r="AR69" s="89"/>
    </row>
    <row r="70" spans="1:44" x14ac:dyDescent="0.2">
      <c r="A70" s="165"/>
      <c r="B70" s="185" t="str">
        <f>ctArbeitsgebiete!G10</f>
        <v>C02</v>
      </c>
      <c r="C70" s="199" t="str">
        <f>IF(ctArbeitsgebiete!H10&lt;&gt;"",ctArbeitsgebiete!H10,"")</f>
        <v/>
      </c>
      <c r="D70" s="200"/>
      <c r="E70" s="913"/>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322"/>
      <c r="AJ70" s="201">
        <f t="shared" si="14"/>
        <v>0</v>
      </c>
      <c r="AK70" s="152"/>
      <c r="AL70" s="113"/>
      <c r="AM70" s="89"/>
      <c r="AN70" s="89"/>
      <c r="AO70" s="89"/>
      <c r="AP70" s="89"/>
      <c r="AQ70" s="89"/>
      <c r="AR70" s="89"/>
    </row>
    <row r="71" spans="1:44" x14ac:dyDescent="0.2">
      <c r="A71" s="165"/>
      <c r="B71" s="185" t="str">
        <f>ctArbeitsgebiete!G11</f>
        <v>C03</v>
      </c>
      <c r="C71" s="199" t="str">
        <f>IF(ctArbeitsgebiete!H11&lt;&gt;"",ctArbeitsgebiete!H11,"")</f>
        <v/>
      </c>
      <c r="D71" s="200"/>
      <c r="E71" s="913"/>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322"/>
      <c r="AJ71" s="201">
        <f t="shared" si="14"/>
        <v>0</v>
      </c>
      <c r="AK71" s="152"/>
      <c r="AL71" s="113"/>
      <c r="AM71" s="89"/>
      <c r="AN71" s="89"/>
      <c r="AO71" s="89"/>
      <c r="AP71" s="89"/>
      <c r="AQ71" s="89"/>
      <c r="AR71" s="89"/>
    </row>
    <row r="72" spans="1:44" x14ac:dyDescent="0.2">
      <c r="A72" s="165"/>
      <c r="B72" s="185" t="str">
        <f>ctArbeitsgebiete!G12</f>
        <v>C04</v>
      </c>
      <c r="C72" s="199" t="str">
        <f>IF(ctArbeitsgebiete!H12&lt;&gt;"",ctArbeitsgebiete!H12,"")</f>
        <v/>
      </c>
      <c r="D72" s="200"/>
      <c r="E72" s="913"/>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322"/>
      <c r="AJ72" s="201">
        <f t="shared" si="14"/>
        <v>0</v>
      </c>
      <c r="AK72" s="152"/>
      <c r="AL72" s="113"/>
      <c r="AM72" s="89"/>
      <c r="AN72" s="89"/>
      <c r="AO72" s="89"/>
      <c r="AP72" s="89"/>
      <c r="AQ72" s="89"/>
      <c r="AR72" s="89"/>
    </row>
    <row r="73" spans="1:44" x14ac:dyDescent="0.2">
      <c r="A73" s="165"/>
      <c r="B73" s="185" t="str">
        <f>ctArbeitsgebiete!G13</f>
        <v>C05</v>
      </c>
      <c r="C73" s="199" t="str">
        <f>IF(ctArbeitsgebiete!H13&lt;&gt;"",ctArbeitsgebiete!H13,"")</f>
        <v/>
      </c>
      <c r="D73" s="200"/>
      <c r="E73" s="913"/>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322"/>
      <c r="AJ73" s="201">
        <f t="shared" si="14"/>
        <v>0</v>
      </c>
      <c r="AK73" s="152"/>
      <c r="AL73" s="113"/>
      <c r="AM73" s="89"/>
      <c r="AN73" s="89"/>
      <c r="AO73" s="89"/>
      <c r="AP73" s="89"/>
      <c r="AQ73" s="89"/>
      <c r="AR73" s="89"/>
    </row>
    <row r="74" spans="1:44" x14ac:dyDescent="0.2">
      <c r="A74" s="165"/>
      <c r="B74" s="185" t="str">
        <f>ctArbeitsgebiete!G14</f>
        <v>C06</v>
      </c>
      <c r="C74" s="199" t="str">
        <f>IF(ctArbeitsgebiete!H14&lt;&gt;"",ctArbeitsgebiete!H14,"")</f>
        <v/>
      </c>
      <c r="D74" s="200"/>
      <c r="E74" s="913"/>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322"/>
      <c r="AJ74" s="201">
        <f t="shared" si="14"/>
        <v>0</v>
      </c>
      <c r="AK74" s="152"/>
      <c r="AL74" s="113"/>
      <c r="AM74" s="89"/>
      <c r="AN74" s="89"/>
      <c r="AO74" s="89"/>
      <c r="AP74" s="89"/>
      <c r="AQ74" s="89"/>
      <c r="AR74" s="89"/>
    </row>
    <row r="75" spans="1:44" x14ac:dyDescent="0.2">
      <c r="A75" s="165"/>
      <c r="B75" s="185" t="str">
        <f>ctArbeitsgebiete!G15</f>
        <v>C07</v>
      </c>
      <c r="C75" s="199" t="str">
        <f>IF(ctArbeitsgebiete!H15&lt;&gt;"",ctArbeitsgebiete!H15,"")</f>
        <v/>
      </c>
      <c r="D75" s="200"/>
      <c r="E75" s="913"/>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322"/>
      <c r="AJ75" s="201">
        <f t="shared" si="14"/>
        <v>0</v>
      </c>
      <c r="AK75" s="152"/>
      <c r="AL75" s="113"/>
      <c r="AM75" s="89"/>
      <c r="AN75" s="89"/>
      <c r="AO75" s="89"/>
      <c r="AP75" s="89"/>
      <c r="AQ75" s="89"/>
      <c r="AR75" s="89"/>
    </row>
    <row r="76" spans="1:44" x14ac:dyDescent="0.2">
      <c r="A76" s="165"/>
      <c r="B76" s="189" t="str">
        <f>ctArbeitsgebiete!G16</f>
        <v>C08</v>
      </c>
      <c r="C76" s="202" t="str">
        <f>IF(ctArbeitsgebiete!H16&lt;&gt;"",ctArbeitsgebiete!H16,"")</f>
        <v/>
      </c>
      <c r="D76" s="203"/>
      <c r="E76" s="914"/>
      <c r="F76" s="915"/>
      <c r="G76" s="915"/>
      <c r="H76" s="915"/>
      <c r="I76" s="915"/>
      <c r="J76" s="915"/>
      <c r="K76" s="915"/>
      <c r="L76" s="915"/>
      <c r="M76" s="915"/>
      <c r="N76" s="915"/>
      <c r="O76" s="915"/>
      <c r="P76" s="915"/>
      <c r="Q76" s="915"/>
      <c r="R76" s="915"/>
      <c r="S76" s="915"/>
      <c r="T76" s="915"/>
      <c r="U76" s="915"/>
      <c r="V76" s="915"/>
      <c r="W76" s="915"/>
      <c r="X76" s="915"/>
      <c r="Y76" s="915"/>
      <c r="Z76" s="915"/>
      <c r="AA76" s="915"/>
      <c r="AB76" s="915"/>
      <c r="AC76" s="915"/>
      <c r="AD76" s="915"/>
      <c r="AE76" s="915"/>
      <c r="AF76" s="915"/>
      <c r="AG76" s="915"/>
      <c r="AH76" s="915"/>
      <c r="AI76" s="916"/>
      <c r="AJ76" s="204">
        <f t="shared" si="14"/>
        <v>0</v>
      </c>
      <c r="AK76" s="912"/>
      <c r="AL76" s="113"/>
      <c r="AM76" s="89"/>
      <c r="AN76" s="89"/>
      <c r="AO76" s="89"/>
      <c r="AP76" s="89"/>
      <c r="AQ76" s="89"/>
      <c r="AR76" s="89"/>
    </row>
    <row r="77" spans="1:44" x14ac:dyDescent="0.2">
      <c r="A77" s="165"/>
      <c r="B77" s="1066" t="str">
        <f>ctArbeitsgebiete!J9</f>
        <v>D01</v>
      </c>
      <c r="C77" s="1079" t="str">
        <f>IF(ctArbeitsgebiete!K9&lt;&gt;"",ctArbeitsgebiete!K9,"")</f>
        <v>DAG</v>
      </c>
      <c r="D77" s="1080"/>
      <c r="E77" s="1069"/>
      <c r="F77" s="1070"/>
      <c r="G77" s="1070"/>
      <c r="H77" s="1070"/>
      <c r="I77" s="1070"/>
      <c r="J77" s="1070"/>
      <c r="K77" s="1070"/>
      <c r="L77" s="1070"/>
      <c r="M77" s="1070"/>
      <c r="N77" s="1070"/>
      <c r="O77" s="1070"/>
      <c r="P77" s="1070"/>
      <c r="Q77" s="1070"/>
      <c r="R77" s="1070"/>
      <c r="S77" s="1070"/>
      <c r="T77" s="1070"/>
      <c r="U77" s="1070"/>
      <c r="V77" s="1070"/>
      <c r="W77" s="1070"/>
      <c r="X77" s="1070"/>
      <c r="Y77" s="1070"/>
      <c r="Z77" s="1070"/>
      <c r="AA77" s="1070"/>
      <c r="AB77" s="1070"/>
      <c r="AC77" s="1070"/>
      <c r="AD77" s="1070"/>
      <c r="AE77" s="1070"/>
      <c r="AF77" s="1070"/>
      <c r="AG77" s="1070"/>
      <c r="AH77" s="1070"/>
      <c r="AI77" s="1071"/>
      <c r="AJ77" s="1059">
        <f t="shared" si="14"/>
        <v>0</v>
      </c>
      <c r="AK77" s="1060"/>
      <c r="AL77" s="113"/>
      <c r="AM77" s="89"/>
      <c r="AN77" s="89"/>
      <c r="AO77" s="89"/>
      <c r="AP77" s="89"/>
      <c r="AQ77" s="89"/>
      <c r="AR77" s="89"/>
    </row>
    <row r="78" spans="1:44" x14ac:dyDescent="0.2">
      <c r="A78" s="165"/>
      <c r="B78" s="185" t="str">
        <f>ctArbeitsgebiete!J10</f>
        <v>D02</v>
      </c>
      <c r="C78" s="205" t="str">
        <f>IF(ctArbeitsgebiete!K10&lt;&gt;"",ctArbeitsgebiete!K10,"")</f>
        <v>Betriebsausflug</v>
      </c>
      <c r="D78" s="206"/>
      <c r="E78" s="913"/>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322"/>
      <c r="AJ78" s="174">
        <f t="shared" si="14"/>
        <v>0</v>
      </c>
      <c r="AK78" s="152"/>
      <c r="AL78" s="113"/>
      <c r="AM78" s="89"/>
      <c r="AN78" s="89"/>
      <c r="AO78" s="89"/>
      <c r="AP78" s="89"/>
      <c r="AQ78" s="89"/>
      <c r="AR78" s="89"/>
    </row>
    <row r="79" spans="1:44" x14ac:dyDescent="0.2">
      <c r="A79" s="165"/>
      <c r="B79" s="185" t="str">
        <f>ctArbeitsgebiete!J11</f>
        <v>D03</v>
      </c>
      <c r="C79" s="205" t="str">
        <f>IF(ctArbeitsgebiete!K11&lt;&gt;"",ctArbeitsgebiete!K11,"")</f>
        <v/>
      </c>
      <c r="D79" s="206"/>
      <c r="E79" s="913"/>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322"/>
      <c r="AJ79" s="174">
        <f t="shared" si="14"/>
        <v>0</v>
      </c>
      <c r="AK79" s="152"/>
      <c r="AL79" s="113"/>
      <c r="AM79" s="89"/>
      <c r="AN79" s="89"/>
      <c r="AO79" s="89"/>
      <c r="AP79" s="89"/>
      <c r="AQ79" s="89"/>
      <c r="AR79" s="89"/>
    </row>
    <row r="80" spans="1:44" x14ac:dyDescent="0.2">
      <c r="A80" s="165"/>
      <c r="B80" s="185" t="str">
        <f>ctArbeitsgebiete!J12</f>
        <v>D04</v>
      </c>
      <c r="C80" s="205" t="str">
        <f>IF(ctArbeitsgebiete!K12&lt;&gt;"",ctArbeitsgebiete!K12,"")</f>
        <v/>
      </c>
      <c r="D80" s="206"/>
      <c r="E80" s="913"/>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322"/>
      <c r="AJ80" s="174">
        <f t="shared" si="14"/>
        <v>0</v>
      </c>
      <c r="AK80" s="152"/>
      <c r="AL80" s="113"/>
      <c r="AM80" s="89"/>
      <c r="AN80" s="89"/>
      <c r="AO80" s="89"/>
      <c r="AP80" s="89"/>
      <c r="AQ80" s="89"/>
      <c r="AR80" s="89"/>
    </row>
    <row r="81" spans="1:44" x14ac:dyDescent="0.2">
      <c r="A81" s="165"/>
      <c r="B81" s="185" t="str">
        <f>ctArbeitsgebiete!J13</f>
        <v>D05</v>
      </c>
      <c r="C81" s="205" t="str">
        <f>IF(ctArbeitsgebiete!K13&lt;&gt;"",ctArbeitsgebiete!K13,"")</f>
        <v/>
      </c>
      <c r="D81" s="206"/>
      <c r="E81" s="913"/>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322"/>
      <c r="AJ81" s="174">
        <f t="shared" si="14"/>
        <v>0</v>
      </c>
      <c r="AK81" s="152"/>
      <c r="AL81" s="113"/>
      <c r="AM81" s="89"/>
      <c r="AN81" s="89"/>
      <c r="AO81" s="89"/>
      <c r="AP81" s="89"/>
      <c r="AQ81" s="89"/>
      <c r="AR81" s="89"/>
    </row>
    <row r="82" spans="1:44" x14ac:dyDescent="0.2">
      <c r="A82" s="165"/>
      <c r="B82" s="185" t="str">
        <f>ctArbeitsgebiete!J14</f>
        <v>D06</v>
      </c>
      <c r="C82" s="205" t="str">
        <f>IF(ctArbeitsgebiete!K14&lt;&gt;"",ctArbeitsgebiete!K14,"")</f>
        <v/>
      </c>
      <c r="D82" s="206"/>
      <c r="E82" s="913"/>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322"/>
      <c r="AJ82" s="174">
        <f t="shared" si="14"/>
        <v>0</v>
      </c>
      <c r="AK82" s="152"/>
      <c r="AL82" s="113"/>
      <c r="AM82" s="89"/>
      <c r="AN82" s="89"/>
      <c r="AO82" s="89"/>
      <c r="AP82" s="89"/>
      <c r="AQ82" s="89"/>
      <c r="AR82" s="89"/>
    </row>
    <row r="83" spans="1:44" x14ac:dyDescent="0.2">
      <c r="A83" s="165"/>
      <c r="B83" s="185" t="str">
        <f>ctArbeitsgebiete!J15</f>
        <v>D07</v>
      </c>
      <c r="C83" s="205" t="str">
        <f>IF(ctArbeitsgebiete!K15&lt;&gt;"",ctArbeitsgebiete!K15,"")</f>
        <v/>
      </c>
      <c r="D83" s="206"/>
      <c r="E83" s="913"/>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322"/>
      <c r="AJ83" s="174">
        <f t="shared" si="14"/>
        <v>0</v>
      </c>
      <c r="AK83" s="152"/>
      <c r="AL83" s="113"/>
      <c r="AM83" s="89"/>
      <c r="AN83" s="89"/>
      <c r="AO83" s="89"/>
      <c r="AP83" s="89"/>
      <c r="AQ83" s="89"/>
      <c r="AR83" s="89"/>
    </row>
    <row r="84" spans="1:44" ht="13.5" thickBot="1" x14ac:dyDescent="0.25">
      <c r="A84" s="165"/>
      <c r="B84" s="189" t="str">
        <f>ctArbeitsgebiete!J16</f>
        <v>D08</v>
      </c>
      <c r="C84" s="207" t="str">
        <f>IF(ctArbeitsgebiete!K16&lt;&gt;"",ctArbeitsgebiete!K16,"")</f>
        <v/>
      </c>
      <c r="D84" s="208"/>
      <c r="E84" s="925"/>
      <c r="F84" s="926"/>
      <c r="G84" s="926"/>
      <c r="H84" s="926"/>
      <c r="I84" s="926"/>
      <c r="J84" s="926"/>
      <c r="K84" s="926"/>
      <c r="L84" s="926"/>
      <c r="M84" s="926"/>
      <c r="N84" s="926"/>
      <c r="O84" s="926"/>
      <c r="P84" s="926"/>
      <c r="Q84" s="926"/>
      <c r="R84" s="926"/>
      <c r="S84" s="926"/>
      <c r="T84" s="926"/>
      <c r="U84" s="926"/>
      <c r="V84" s="926"/>
      <c r="W84" s="926"/>
      <c r="X84" s="926"/>
      <c r="Y84" s="926"/>
      <c r="Z84" s="926"/>
      <c r="AA84" s="926"/>
      <c r="AB84" s="926"/>
      <c r="AC84" s="926"/>
      <c r="AD84" s="926"/>
      <c r="AE84" s="926"/>
      <c r="AF84" s="926"/>
      <c r="AG84" s="926"/>
      <c r="AH84" s="926"/>
      <c r="AI84" s="927"/>
      <c r="AJ84" s="142">
        <f t="shared" si="14"/>
        <v>0</v>
      </c>
      <c r="AK84" s="912"/>
      <c r="AL84" s="113"/>
      <c r="AM84" s="89"/>
      <c r="AN84" s="89"/>
      <c r="AO84" s="89"/>
      <c r="AP84" s="89"/>
      <c r="AQ84" s="89"/>
      <c r="AR84" s="89"/>
    </row>
    <row r="85" spans="1:44" ht="22.5" hidden="1" customHeight="1" outlineLevel="1" thickBot="1" x14ac:dyDescent="0.25">
      <c r="A85" s="8" t="s">
        <v>424</v>
      </c>
      <c r="B85" s="928"/>
      <c r="C85" s="929" t="s">
        <v>433</v>
      </c>
      <c r="D85" s="930"/>
      <c r="E85" s="931"/>
      <c r="F85" s="932"/>
      <c r="G85" s="932"/>
      <c r="H85" s="932"/>
      <c r="I85" s="932"/>
      <c r="J85" s="932"/>
      <c r="K85" s="932"/>
      <c r="L85" s="932"/>
      <c r="M85" s="932"/>
      <c r="N85" s="932"/>
      <c r="O85" s="932"/>
      <c r="P85" s="932"/>
      <c r="Q85" s="932"/>
      <c r="R85" s="932"/>
      <c r="S85" s="932"/>
      <c r="T85" s="932"/>
      <c r="U85" s="932"/>
      <c r="V85" s="932"/>
      <c r="W85" s="932"/>
      <c r="X85" s="932"/>
      <c r="Y85" s="932"/>
      <c r="Z85" s="932"/>
      <c r="AA85" s="932"/>
      <c r="AB85" s="932"/>
      <c r="AC85" s="932"/>
      <c r="AD85" s="932"/>
      <c r="AE85" s="932"/>
      <c r="AF85" s="932"/>
      <c r="AG85" s="932"/>
      <c r="AH85" s="932"/>
      <c r="AI85" s="933"/>
      <c r="AJ85" s="1081">
        <f>SUM(E85:AI85)</f>
        <v>0</v>
      </c>
      <c r="AK85" s="990">
        <f>ROUND(B85+D85+AJ85,8)</f>
        <v>0</v>
      </c>
      <c r="AL85" s="141" t="s">
        <v>434</v>
      </c>
      <c r="AM85" s="91"/>
      <c r="AN85" s="113"/>
      <c r="AO85" s="89"/>
      <c r="AP85" s="89"/>
      <c r="AQ85" s="89"/>
      <c r="AR85" s="89"/>
    </row>
    <row r="86" spans="1:44" ht="15" hidden="1" customHeight="1" outlineLevel="1" x14ac:dyDescent="0.2">
      <c r="A86" s="8" t="s">
        <v>424</v>
      </c>
      <c r="B86" s="934"/>
      <c r="C86" s="935" t="s">
        <v>435</v>
      </c>
      <c r="D86" s="936"/>
      <c r="E86" s="937"/>
      <c r="F86" s="938"/>
      <c r="G86" s="938"/>
      <c r="H86" s="938"/>
      <c r="I86" s="938"/>
      <c r="J86" s="938"/>
      <c r="K86" s="938"/>
      <c r="L86" s="938"/>
      <c r="M86" s="938"/>
      <c r="N86" s="938"/>
      <c r="O86" s="938"/>
      <c r="P86" s="938"/>
      <c r="Q86" s="938"/>
      <c r="R86" s="938"/>
      <c r="S86" s="938"/>
      <c r="T86" s="938"/>
      <c r="U86" s="938"/>
      <c r="V86" s="938"/>
      <c r="W86" s="938"/>
      <c r="X86" s="938"/>
      <c r="Y86" s="938"/>
      <c r="Z86" s="938"/>
      <c r="AA86" s="938"/>
      <c r="AB86" s="938"/>
      <c r="AC86" s="938"/>
      <c r="AD86" s="938"/>
      <c r="AE86" s="938"/>
      <c r="AF86" s="938"/>
      <c r="AG86" s="938"/>
      <c r="AH86" s="938"/>
      <c r="AI86" s="939"/>
      <c r="AK86" s="210"/>
      <c r="AL86" s="141" t="s">
        <v>437</v>
      </c>
      <c r="AM86" s="89"/>
      <c r="AN86" s="113"/>
      <c r="AO86" s="89"/>
      <c r="AP86" s="89"/>
      <c r="AQ86" s="89"/>
      <c r="AR86" s="89"/>
    </row>
    <row r="87" spans="1:44" ht="15" hidden="1" customHeight="1" outlineLevel="1" x14ac:dyDescent="0.2">
      <c r="A87" s="8" t="s">
        <v>424</v>
      </c>
      <c r="B87" s="934"/>
      <c r="C87" s="934" t="str">
        <f>"Zuschlagsber. = " &amp; Eingabeblatt!$D$7</f>
        <v>Zuschlagsber. = NEIN</v>
      </c>
      <c r="D87" s="936"/>
      <c r="E87" s="940"/>
      <c r="F87" s="941"/>
      <c r="G87" s="941"/>
      <c r="H87" s="941"/>
      <c r="I87" s="941"/>
      <c r="J87" s="941"/>
      <c r="K87" s="941"/>
      <c r="L87" s="941"/>
      <c r="M87" s="941"/>
      <c r="N87" s="941"/>
      <c r="O87" s="941"/>
      <c r="P87" s="941"/>
      <c r="Q87" s="941"/>
      <c r="R87" s="941"/>
      <c r="S87" s="941"/>
      <c r="T87" s="941"/>
      <c r="U87" s="941"/>
      <c r="V87" s="941"/>
      <c r="W87" s="941"/>
      <c r="X87" s="941"/>
      <c r="Y87" s="941"/>
      <c r="Z87" s="941"/>
      <c r="AA87" s="941"/>
      <c r="AB87" s="941"/>
      <c r="AC87" s="941"/>
      <c r="AD87" s="941"/>
      <c r="AE87" s="941"/>
      <c r="AF87" s="941"/>
      <c r="AG87" s="941"/>
      <c r="AH87" s="941"/>
      <c r="AI87" s="942"/>
      <c r="AK87" s="210"/>
      <c r="AL87" s="113"/>
      <c r="AM87" s="113"/>
      <c r="AN87" s="113"/>
      <c r="AO87" s="89"/>
      <c r="AP87" s="89"/>
      <c r="AQ87" s="89"/>
      <c r="AR87" s="89"/>
    </row>
    <row r="88" spans="1:44" hidden="1" outlineLevel="1" collapsed="1" x14ac:dyDescent="0.2">
      <c r="E88" s="323"/>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5"/>
      <c r="AK88" s="211"/>
      <c r="AL88" s="113"/>
      <c r="AM88" s="89"/>
      <c r="AN88" s="113"/>
      <c r="AO88" s="89"/>
      <c r="AP88" s="89"/>
      <c r="AQ88" s="89"/>
      <c r="AR88" s="89"/>
    </row>
    <row r="89" spans="1:44" ht="12.75" hidden="1" customHeight="1" outlineLevel="1" x14ac:dyDescent="0.2">
      <c r="C89" s="212"/>
      <c r="E89" s="326"/>
      <c r="F89" s="324"/>
      <c r="G89" s="324"/>
      <c r="H89" s="324"/>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5"/>
      <c r="AK89" s="210"/>
      <c r="AL89" s="113"/>
      <c r="AM89" s="89"/>
      <c r="AN89" s="89"/>
      <c r="AO89" s="89"/>
      <c r="AP89" s="89"/>
      <c r="AQ89" s="89"/>
      <c r="AR89" s="89"/>
    </row>
    <row r="90" spans="1:44" ht="28.5" hidden="1" customHeight="1" outlineLevel="1" x14ac:dyDescent="0.2">
      <c r="C90" s="213" t="s">
        <v>439</v>
      </c>
      <c r="E90" s="326"/>
      <c r="F90" s="324"/>
      <c r="G90" s="324"/>
      <c r="H90" s="324"/>
      <c r="I90" s="324"/>
      <c r="J90" s="324"/>
      <c r="K90" s="327"/>
      <c r="L90" s="327"/>
      <c r="M90" s="327"/>
      <c r="N90" s="324"/>
      <c r="O90" s="324"/>
      <c r="P90" s="324"/>
      <c r="Q90" s="324"/>
      <c r="R90" s="324"/>
      <c r="S90" s="324"/>
      <c r="T90" s="324"/>
      <c r="U90" s="324"/>
      <c r="V90" s="324"/>
      <c r="W90" s="324"/>
      <c r="X90" s="324"/>
      <c r="Y90" s="324"/>
      <c r="Z90" s="324"/>
      <c r="AA90" s="324"/>
      <c r="AB90" s="324"/>
      <c r="AC90" s="324"/>
      <c r="AD90" s="324"/>
      <c r="AE90" s="324"/>
      <c r="AF90" s="324"/>
      <c r="AG90" s="324"/>
      <c r="AH90" s="324"/>
      <c r="AI90" s="325"/>
      <c r="AK90" s="210"/>
      <c r="AL90" s="113"/>
      <c r="AM90" s="89"/>
      <c r="AN90" s="89"/>
      <c r="AO90" s="89"/>
      <c r="AP90" s="89"/>
      <c r="AQ90" s="89"/>
      <c r="AR90" s="89"/>
    </row>
    <row r="91" spans="1:44" ht="28.5" hidden="1" customHeight="1" outlineLevel="1" thickBot="1" x14ac:dyDescent="0.3">
      <c r="C91" s="214" t="s">
        <v>440</v>
      </c>
      <c r="D91" s="215"/>
      <c r="E91" s="236"/>
      <c r="F91" s="327"/>
      <c r="G91" s="327"/>
      <c r="H91" s="327"/>
      <c r="I91" s="327"/>
      <c r="J91" s="327"/>
      <c r="K91" s="327"/>
      <c r="L91" s="327"/>
      <c r="M91" s="327"/>
      <c r="N91" s="327"/>
      <c r="O91" s="327"/>
      <c r="P91" s="327"/>
      <c r="Q91" s="327"/>
      <c r="R91" s="327"/>
      <c r="S91" s="327"/>
      <c r="T91" s="327"/>
      <c r="U91" s="328"/>
      <c r="V91" s="327"/>
      <c r="W91" s="327"/>
      <c r="X91" s="327"/>
      <c r="Y91" s="327"/>
      <c r="Z91" s="327"/>
      <c r="AA91" s="327"/>
      <c r="AB91" s="327"/>
      <c r="AC91" s="327"/>
      <c r="AD91" s="327"/>
      <c r="AE91" s="327"/>
      <c r="AF91" s="328"/>
      <c r="AG91" s="327"/>
      <c r="AH91" s="943"/>
      <c r="AI91" s="329"/>
      <c r="AJ91" s="88"/>
      <c r="AK91" s="216"/>
      <c r="AL91" s="113"/>
      <c r="AM91" s="89"/>
      <c r="AN91" s="89"/>
      <c r="AO91" s="89"/>
      <c r="AP91" s="89"/>
      <c r="AQ91" s="89"/>
      <c r="AR91" s="89"/>
    </row>
    <row r="92" spans="1:44" ht="28.5" hidden="1" customHeight="1" outlineLevel="1" thickBot="1" x14ac:dyDescent="0.25">
      <c r="C92" s="217" t="s">
        <v>443</v>
      </c>
      <c r="E92" s="326"/>
      <c r="F92" s="324"/>
      <c r="G92" s="324"/>
      <c r="H92" s="324"/>
      <c r="I92" s="330"/>
      <c r="J92" s="324"/>
      <c r="K92" s="327"/>
      <c r="L92" s="327"/>
      <c r="M92" s="327"/>
      <c r="N92" s="324"/>
      <c r="O92" s="324"/>
      <c r="P92" s="324"/>
      <c r="Q92" s="324"/>
      <c r="R92" s="324"/>
      <c r="S92" s="324"/>
      <c r="T92" s="324"/>
      <c r="U92" s="324"/>
      <c r="V92" s="324"/>
      <c r="W92" s="324"/>
      <c r="X92" s="324"/>
      <c r="Y92" s="324"/>
      <c r="Z92" s="324"/>
      <c r="AA92" s="324"/>
      <c r="AB92" s="324"/>
      <c r="AC92" s="324"/>
      <c r="AD92" s="324"/>
      <c r="AE92" s="324"/>
      <c r="AF92" s="324"/>
      <c r="AG92" s="324"/>
      <c r="AH92" s="324"/>
      <c r="AI92" s="325"/>
      <c r="AK92" s="210"/>
      <c r="AL92" s="113"/>
      <c r="AM92" s="89"/>
      <c r="AN92" s="89"/>
      <c r="AO92" s="89"/>
      <c r="AP92" s="89"/>
      <c r="AQ92" s="89"/>
      <c r="AR92" s="89"/>
    </row>
    <row r="93" spans="1:44" ht="28.5" hidden="1" customHeight="1" outlineLevel="1" x14ac:dyDescent="0.2">
      <c r="C93" s="217"/>
      <c r="E93" s="326"/>
      <c r="F93" s="324"/>
      <c r="G93" s="324"/>
      <c r="H93" s="324"/>
      <c r="I93" s="324"/>
      <c r="J93" s="324"/>
      <c r="K93" s="327"/>
      <c r="L93" s="327"/>
      <c r="M93" s="327"/>
      <c r="N93" s="324"/>
      <c r="O93" s="324"/>
      <c r="P93" s="324"/>
      <c r="Q93" s="324"/>
      <c r="R93" s="324"/>
      <c r="S93" s="324"/>
      <c r="T93" s="324"/>
      <c r="U93" s="324"/>
      <c r="V93" s="324"/>
      <c r="W93" s="324"/>
      <c r="X93" s="324"/>
      <c r="Y93" s="324"/>
      <c r="Z93" s="324"/>
      <c r="AA93" s="324"/>
      <c r="AB93" s="324"/>
      <c r="AC93" s="324"/>
      <c r="AD93" s="324"/>
      <c r="AE93" s="324"/>
      <c r="AF93" s="324"/>
      <c r="AG93" s="324"/>
      <c r="AH93" s="324"/>
      <c r="AI93" s="325"/>
      <c r="AK93" s="210"/>
      <c r="AL93" s="113"/>
      <c r="AM93" s="89"/>
      <c r="AN93" s="89"/>
      <c r="AO93" s="89"/>
      <c r="AP93" s="89"/>
      <c r="AQ93" s="89"/>
      <c r="AR93" s="89"/>
    </row>
    <row r="94" spans="1:44" collapsed="1" x14ac:dyDescent="0.2">
      <c r="A94" s="165"/>
      <c r="B94" s="185"/>
      <c r="C94" s="340" t="str">
        <f>IF(ctArbeitsgebiete!H20&lt;&gt;"",ctArbeitsgebiete!H20,"")</f>
        <v/>
      </c>
      <c r="D94" s="334"/>
      <c r="E94" s="944"/>
      <c r="F94" s="945"/>
      <c r="G94" s="945"/>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6"/>
      <c r="AJ94" s="1082">
        <f>SUM(E94:AI94)</f>
        <v>0</v>
      </c>
      <c r="AK94" s="152"/>
      <c r="AL94" s="113"/>
      <c r="AM94" s="89"/>
      <c r="AN94" s="89"/>
      <c r="AO94" s="89"/>
      <c r="AP94" s="89"/>
      <c r="AQ94" s="89"/>
      <c r="AR94" s="89"/>
    </row>
    <row r="95" spans="1:44" x14ac:dyDescent="0.2">
      <c r="A95" s="165"/>
      <c r="B95" s="185"/>
      <c r="C95" s="340" t="str">
        <f>IF(ctArbeitsgebiete!H21&lt;&gt;"",ctArbeitsgebiete!H21,"")</f>
        <v/>
      </c>
      <c r="D95" s="334"/>
      <c r="E95" s="944"/>
      <c r="F95" s="945"/>
      <c r="G95" s="945"/>
      <c r="H95" s="945"/>
      <c r="I95" s="945"/>
      <c r="J95" s="945"/>
      <c r="K95" s="945"/>
      <c r="L95" s="945"/>
      <c r="M95" s="945"/>
      <c r="N95" s="945"/>
      <c r="O95" s="945"/>
      <c r="P95" s="945"/>
      <c r="Q95" s="945"/>
      <c r="R95" s="945"/>
      <c r="S95" s="945"/>
      <c r="T95" s="945"/>
      <c r="U95" s="945"/>
      <c r="V95" s="945"/>
      <c r="W95" s="945"/>
      <c r="X95" s="945"/>
      <c r="Y95" s="945"/>
      <c r="Z95" s="945"/>
      <c r="AA95" s="945"/>
      <c r="AB95" s="945"/>
      <c r="AC95" s="945"/>
      <c r="AD95" s="945"/>
      <c r="AE95" s="945"/>
      <c r="AF95" s="945"/>
      <c r="AG95" s="945"/>
      <c r="AH95" s="945"/>
      <c r="AI95" s="946"/>
      <c r="AJ95" s="338">
        <f t="shared" ref="AJ95:AJ105" si="15">SUM(E95:AI95)</f>
        <v>0</v>
      </c>
      <c r="AK95" s="152"/>
      <c r="AL95" s="113"/>
      <c r="AM95" s="89"/>
      <c r="AN95" s="89"/>
      <c r="AO95" s="89"/>
      <c r="AP95" s="89"/>
      <c r="AQ95" s="89"/>
      <c r="AR95" s="89"/>
    </row>
    <row r="96" spans="1:44" x14ac:dyDescent="0.2">
      <c r="A96" s="165"/>
      <c r="B96" s="185"/>
      <c r="C96" s="340" t="str">
        <f>IF(ctArbeitsgebiete!H22&lt;&gt;"",ctArbeitsgebiete!H22,"")</f>
        <v/>
      </c>
      <c r="D96" s="334"/>
      <c r="E96" s="944"/>
      <c r="F96" s="945"/>
      <c r="G96" s="945"/>
      <c r="H96" s="945"/>
      <c r="I96" s="945"/>
      <c r="J96" s="945"/>
      <c r="K96" s="945"/>
      <c r="L96" s="945"/>
      <c r="M96" s="945"/>
      <c r="N96" s="945"/>
      <c r="O96" s="945"/>
      <c r="P96" s="945"/>
      <c r="Q96" s="945"/>
      <c r="R96" s="945"/>
      <c r="S96" s="945"/>
      <c r="T96" s="945"/>
      <c r="U96" s="945"/>
      <c r="V96" s="945"/>
      <c r="W96" s="945"/>
      <c r="X96" s="945"/>
      <c r="Y96" s="945"/>
      <c r="Z96" s="945"/>
      <c r="AA96" s="945"/>
      <c r="AB96" s="945"/>
      <c r="AC96" s="945"/>
      <c r="AD96" s="945"/>
      <c r="AE96" s="945"/>
      <c r="AF96" s="945"/>
      <c r="AG96" s="945"/>
      <c r="AH96" s="945"/>
      <c r="AI96" s="946"/>
      <c r="AJ96" s="338">
        <f t="shared" si="15"/>
        <v>0</v>
      </c>
      <c r="AK96" s="152"/>
      <c r="AL96" s="113"/>
      <c r="AM96" s="89"/>
      <c r="AN96" s="89"/>
      <c r="AO96" s="89"/>
      <c r="AP96" s="89"/>
      <c r="AQ96" s="89"/>
      <c r="AR96" s="89"/>
    </row>
    <row r="97" spans="1:44" x14ac:dyDescent="0.2">
      <c r="A97" s="165"/>
      <c r="B97" s="185"/>
      <c r="C97" s="340" t="str">
        <f>IF(ctArbeitsgebiete!H23&lt;&gt;"",ctArbeitsgebiete!H23,"")</f>
        <v/>
      </c>
      <c r="D97" s="334"/>
      <c r="E97" s="944"/>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6"/>
      <c r="AJ97" s="338">
        <f t="shared" si="15"/>
        <v>0</v>
      </c>
      <c r="AK97" s="152"/>
      <c r="AL97" s="113"/>
      <c r="AM97" s="89"/>
      <c r="AN97" s="89"/>
      <c r="AO97" s="89"/>
      <c r="AP97" s="89"/>
      <c r="AQ97" s="89"/>
      <c r="AR97" s="89"/>
    </row>
    <row r="98" spans="1:44" x14ac:dyDescent="0.2">
      <c r="A98" s="165"/>
      <c r="B98" s="185"/>
      <c r="C98" s="340" t="str">
        <f>IF(ctArbeitsgebiete!H24&lt;&gt;"",ctArbeitsgebiete!H24,"")</f>
        <v/>
      </c>
      <c r="D98" s="334"/>
      <c r="E98" s="944"/>
      <c r="F98" s="945"/>
      <c r="G98" s="945"/>
      <c r="H98" s="945"/>
      <c r="I98" s="945"/>
      <c r="J98" s="945"/>
      <c r="K98" s="945"/>
      <c r="L98" s="945"/>
      <c r="M98" s="945"/>
      <c r="N98" s="945"/>
      <c r="O98" s="945"/>
      <c r="P98" s="945"/>
      <c r="Q98" s="945"/>
      <c r="R98" s="945"/>
      <c r="S98" s="945"/>
      <c r="T98" s="945"/>
      <c r="U98" s="945"/>
      <c r="V98" s="945"/>
      <c r="W98" s="945"/>
      <c r="X98" s="945"/>
      <c r="Y98" s="945"/>
      <c r="Z98" s="945"/>
      <c r="AA98" s="945"/>
      <c r="AB98" s="945"/>
      <c r="AC98" s="945"/>
      <c r="AD98" s="945"/>
      <c r="AE98" s="945"/>
      <c r="AF98" s="945"/>
      <c r="AG98" s="945"/>
      <c r="AH98" s="945"/>
      <c r="AI98" s="946"/>
      <c r="AJ98" s="338">
        <f t="shared" si="15"/>
        <v>0</v>
      </c>
      <c r="AK98" s="152"/>
      <c r="AL98" s="113"/>
      <c r="AM98" s="89"/>
      <c r="AN98" s="89"/>
      <c r="AO98" s="89"/>
      <c r="AP98" s="89"/>
      <c r="AQ98" s="89"/>
      <c r="AR98" s="89"/>
    </row>
    <row r="99" spans="1:44" x14ac:dyDescent="0.2">
      <c r="A99" s="165"/>
      <c r="B99" s="185"/>
      <c r="C99" s="340" t="str">
        <f>IF(ctArbeitsgebiete!H25&lt;&gt;"",ctArbeitsgebiete!H25,"")</f>
        <v/>
      </c>
      <c r="D99" s="334"/>
      <c r="E99" s="944"/>
      <c r="F99" s="945"/>
      <c r="G99" s="945"/>
      <c r="H99" s="945"/>
      <c r="I99" s="945"/>
      <c r="J99" s="945"/>
      <c r="K99" s="945"/>
      <c r="L99" s="945"/>
      <c r="M99" s="945"/>
      <c r="N99" s="945"/>
      <c r="O99" s="945"/>
      <c r="P99" s="945"/>
      <c r="Q99" s="945"/>
      <c r="R99" s="945"/>
      <c r="S99" s="945"/>
      <c r="T99" s="945"/>
      <c r="U99" s="945"/>
      <c r="V99" s="945"/>
      <c r="W99" s="945"/>
      <c r="X99" s="945"/>
      <c r="Y99" s="945"/>
      <c r="Z99" s="945"/>
      <c r="AA99" s="945"/>
      <c r="AB99" s="945"/>
      <c r="AC99" s="945"/>
      <c r="AD99" s="945"/>
      <c r="AE99" s="945"/>
      <c r="AF99" s="945"/>
      <c r="AG99" s="945"/>
      <c r="AH99" s="945"/>
      <c r="AI99" s="946"/>
      <c r="AJ99" s="338">
        <f t="shared" si="15"/>
        <v>0</v>
      </c>
      <c r="AK99" s="152"/>
      <c r="AL99" s="113"/>
      <c r="AM99" s="89"/>
      <c r="AN99" s="89"/>
      <c r="AO99" s="89"/>
      <c r="AP99" s="89"/>
      <c r="AQ99" s="89"/>
      <c r="AR99" s="89"/>
    </row>
    <row r="100" spans="1:44" x14ac:dyDescent="0.2">
      <c r="A100" s="165"/>
      <c r="B100" s="185"/>
      <c r="C100" s="340" t="str">
        <f>IF(ctArbeitsgebiete!H26&lt;&gt;"",ctArbeitsgebiete!H26,"")</f>
        <v/>
      </c>
      <c r="D100" s="334"/>
      <c r="E100" s="944"/>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B100" s="945"/>
      <c r="AC100" s="945"/>
      <c r="AD100" s="945"/>
      <c r="AE100" s="945"/>
      <c r="AF100" s="945"/>
      <c r="AG100" s="945"/>
      <c r="AH100" s="945"/>
      <c r="AI100" s="946"/>
      <c r="AJ100" s="338">
        <f t="shared" si="15"/>
        <v>0</v>
      </c>
      <c r="AK100" s="152"/>
      <c r="AL100" s="113"/>
      <c r="AM100" s="89"/>
      <c r="AN100" s="89"/>
      <c r="AO100" s="89"/>
      <c r="AP100" s="89"/>
      <c r="AQ100" s="89"/>
      <c r="AR100" s="89"/>
    </row>
    <row r="101" spans="1:44" x14ac:dyDescent="0.2">
      <c r="A101" s="165"/>
      <c r="B101" s="185"/>
      <c r="C101" s="345" t="str">
        <f>IF(ctArbeitsgebiete!H27&lt;&gt;"",ctArbeitsgebiete!H27,"")</f>
        <v/>
      </c>
      <c r="D101" s="346"/>
      <c r="E101" s="947"/>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9"/>
      <c r="AJ101" s="347">
        <f t="shared" si="15"/>
        <v>0</v>
      </c>
      <c r="AK101" s="152"/>
      <c r="AL101" s="113"/>
      <c r="AM101" s="89"/>
      <c r="AN101" s="89"/>
      <c r="AO101" s="89"/>
      <c r="AP101" s="89"/>
      <c r="AQ101" s="89"/>
      <c r="AR101" s="89"/>
    </row>
    <row r="102" spans="1:44" x14ac:dyDescent="0.2">
      <c r="A102" s="165"/>
      <c r="B102" s="185"/>
      <c r="C102" s="992" t="str">
        <f>IF(ctArbeitsgebiete!E24&lt;&gt;"",ctArbeitsgebiete!E24,"")</f>
        <v/>
      </c>
      <c r="D102" s="1083"/>
      <c r="E102" s="1084"/>
      <c r="F102" s="1085"/>
      <c r="G102" s="1085"/>
      <c r="H102" s="1085"/>
      <c r="I102" s="1085"/>
      <c r="J102" s="1085"/>
      <c r="K102" s="1085"/>
      <c r="L102" s="1085"/>
      <c r="M102" s="1085"/>
      <c r="N102" s="1085"/>
      <c r="O102" s="1085"/>
      <c r="P102" s="1085"/>
      <c r="Q102" s="1085"/>
      <c r="R102" s="1085"/>
      <c r="S102" s="1085"/>
      <c r="T102" s="1085"/>
      <c r="U102" s="1085"/>
      <c r="V102" s="1085"/>
      <c r="W102" s="1085"/>
      <c r="X102" s="1085"/>
      <c r="Y102" s="1085"/>
      <c r="Z102" s="1085"/>
      <c r="AA102" s="1085"/>
      <c r="AB102" s="1085"/>
      <c r="AC102" s="1085"/>
      <c r="AD102" s="1085"/>
      <c r="AE102" s="1085"/>
      <c r="AF102" s="1085"/>
      <c r="AG102" s="1085"/>
      <c r="AH102" s="1085"/>
      <c r="AI102" s="1086"/>
      <c r="AJ102" s="1087">
        <f t="shared" si="15"/>
        <v>0</v>
      </c>
      <c r="AK102" s="152"/>
      <c r="AL102" s="113"/>
      <c r="AM102" s="89"/>
      <c r="AN102" s="89"/>
      <c r="AO102" s="89"/>
      <c r="AP102" s="89"/>
      <c r="AQ102" s="89"/>
      <c r="AR102" s="89"/>
    </row>
    <row r="103" spans="1:44" x14ac:dyDescent="0.2">
      <c r="A103" s="165"/>
      <c r="B103" s="185"/>
      <c r="C103" s="342" t="str">
        <f>IF(ctArbeitsgebiete!E25&lt;&gt;"",ctArbeitsgebiete!E25,"")</f>
        <v/>
      </c>
      <c r="D103" s="341"/>
      <c r="E103" s="944"/>
      <c r="F103" s="945"/>
      <c r="G103" s="945"/>
      <c r="H103" s="945"/>
      <c r="I103" s="945"/>
      <c r="J103" s="945"/>
      <c r="K103" s="945"/>
      <c r="L103" s="945"/>
      <c r="M103" s="945"/>
      <c r="N103" s="945"/>
      <c r="O103" s="945"/>
      <c r="P103" s="945"/>
      <c r="Q103" s="945"/>
      <c r="R103" s="945"/>
      <c r="S103" s="945"/>
      <c r="T103" s="945"/>
      <c r="U103" s="945"/>
      <c r="V103" s="945"/>
      <c r="W103" s="945"/>
      <c r="X103" s="945"/>
      <c r="Y103" s="945"/>
      <c r="Z103" s="945"/>
      <c r="AA103" s="945"/>
      <c r="AB103" s="945"/>
      <c r="AC103" s="945"/>
      <c r="AD103" s="945"/>
      <c r="AE103" s="945"/>
      <c r="AF103" s="945"/>
      <c r="AG103" s="945"/>
      <c r="AH103" s="945"/>
      <c r="AI103" s="946"/>
      <c r="AJ103" s="343">
        <f t="shared" si="15"/>
        <v>0</v>
      </c>
      <c r="AK103" s="152"/>
      <c r="AL103" s="113"/>
      <c r="AM103" s="89"/>
      <c r="AN103" s="89"/>
      <c r="AO103" s="89"/>
      <c r="AP103" s="89"/>
      <c r="AQ103" s="89"/>
      <c r="AR103" s="89"/>
    </row>
    <row r="104" spans="1:44" x14ac:dyDescent="0.2">
      <c r="A104" s="165"/>
      <c r="B104" s="185"/>
      <c r="C104" s="342" t="str">
        <f>IF(ctArbeitsgebiete!E26&lt;&gt;"",ctArbeitsgebiete!E26,"")</f>
        <v/>
      </c>
      <c r="D104" s="341"/>
      <c r="E104" s="944"/>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B104" s="945"/>
      <c r="AC104" s="945"/>
      <c r="AD104" s="945"/>
      <c r="AE104" s="945"/>
      <c r="AF104" s="945"/>
      <c r="AG104" s="945"/>
      <c r="AH104" s="945"/>
      <c r="AI104" s="946"/>
      <c r="AJ104" s="343">
        <f t="shared" si="15"/>
        <v>0</v>
      </c>
      <c r="AK104" s="152"/>
      <c r="AL104" s="113"/>
      <c r="AM104" s="89"/>
      <c r="AN104" s="89"/>
      <c r="AO104" s="89"/>
      <c r="AP104" s="89"/>
      <c r="AQ104" s="89"/>
      <c r="AR104" s="89"/>
    </row>
    <row r="105" spans="1:44" ht="13.5" thickBot="1" x14ac:dyDescent="0.25">
      <c r="A105" s="165"/>
      <c r="B105" s="185"/>
      <c r="C105" s="342" t="str">
        <f>IF(ctArbeitsgebiete!E27&lt;&gt;"",ctArbeitsgebiete!E27,"")</f>
        <v/>
      </c>
      <c r="D105" s="341"/>
      <c r="E105" s="950"/>
      <c r="F105" s="951"/>
      <c r="G105" s="951"/>
      <c r="H105" s="951"/>
      <c r="I105" s="951"/>
      <c r="J105" s="951"/>
      <c r="K105" s="951"/>
      <c r="L105" s="951"/>
      <c r="M105" s="951"/>
      <c r="N105" s="951"/>
      <c r="O105" s="951"/>
      <c r="P105" s="951"/>
      <c r="Q105" s="951"/>
      <c r="R105" s="951"/>
      <c r="S105" s="951"/>
      <c r="T105" s="951"/>
      <c r="U105" s="951"/>
      <c r="V105" s="951"/>
      <c r="W105" s="951"/>
      <c r="X105" s="951"/>
      <c r="Y105" s="951"/>
      <c r="Z105" s="951"/>
      <c r="AA105" s="951"/>
      <c r="AB105" s="951"/>
      <c r="AC105" s="951"/>
      <c r="AD105" s="951"/>
      <c r="AE105" s="951"/>
      <c r="AF105" s="951"/>
      <c r="AG105" s="951"/>
      <c r="AH105" s="951"/>
      <c r="AI105" s="952"/>
      <c r="AJ105" s="344">
        <f t="shared" si="15"/>
        <v>0</v>
      </c>
      <c r="AK105" s="152"/>
      <c r="AL105" s="113"/>
      <c r="AM105" s="89"/>
      <c r="AN105" s="89"/>
      <c r="AO105" s="89"/>
      <c r="AP105" s="89"/>
      <c r="AQ105" s="89"/>
      <c r="AR105" s="89"/>
    </row>
    <row r="106" spans="1:44" s="218" customFormat="1" ht="63.75" collapsed="1" x14ac:dyDescent="0.2">
      <c r="C106" s="219" t="s">
        <v>444</v>
      </c>
      <c r="D106" s="220"/>
      <c r="E106" s="335"/>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6"/>
      <c r="AF106" s="336"/>
      <c r="AG106" s="336"/>
      <c r="AH106" s="336"/>
      <c r="AI106" s="337"/>
      <c r="AJ106" s="339">
        <f>SUM(E106:AI106)</f>
        <v>0</v>
      </c>
      <c r="AL106" s="222"/>
    </row>
  </sheetData>
  <sheetProtection algorithmName="SHA-512" hashValue="4Q/e2yY5djbC7RxBGiXQX+CXKf1Qq2vbi1J4Fue2VpKreyZvXH7tiaVPEr2SD1Suj8Nmf6pGsBoswFi5LBb8KA==" saltValue="ru7jbKAFpez6mcLSUPrS1Q==" spinCount="100000" sheet="1" selectLockedCells="1"/>
  <mergeCells count="1">
    <mergeCell ref="D3:D4"/>
  </mergeCells>
  <phoneticPr fontId="9" type="noConversion"/>
  <conditionalFormatting sqref="E3:AH4">
    <cfRule type="expression" dxfId="172" priority="104" stopIfTrue="1">
      <formula>WEEKDAY(E$3,2)=7</formula>
    </cfRule>
  </conditionalFormatting>
  <conditionalFormatting sqref="E7:AH7">
    <cfRule type="expression" dxfId="171" priority="1" stopIfTrue="1">
      <formula>WEEKDAY(E$3,2)=6</formula>
    </cfRule>
    <cfRule type="expression" dxfId="170" priority="2" stopIfTrue="1">
      <formula>WEEKDAY(E$3,2)=7</formula>
    </cfRule>
  </conditionalFormatting>
  <conditionalFormatting sqref="E8:AH8 E10:AH10 E12:AH12">
    <cfRule type="expression" dxfId="169" priority="101" stopIfTrue="1">
      <formula>WEEKDAY(E$3,2)=6</formula>
    </cfRule>
    <cfRule type="expression" dxfId="168" priority="102" stopIfTrue="1">
      <formula>WEEKDAY(E$3,2)=7</formula>
    </cfRule>
  </conditionalFormatting>
  <conditionalFormatting sqref="E9:AH9 E11:AH11">
    <cfRule type="expression" dxfId="167" priority="99" stopIfTrue="1">
      <formula>WEEKDAY(E$3,2)=6</formula>
    </cfRule>
    <cfRule type="expression" dxfId="166" priority="100" stopIfTrue="1">
      <formula>WEEKDAY(E$3,2)=7</formula>
    </cfRule>
  </conditionalFormatting>
  <conditionalFormatting sqref="E3:AI4">
    <cfRule type="expression" dxfId="165" priority="103" stopIfTrue="1">
      <formula>WEEKDAY(E$3,2)=6</formula>
    </cfRule>
  </conditionalFormatting>
  <conditionalFormatting sqref="E13:AI18">
    <cfRule type="expression" dxfId="164" priority="105" stopIfTrue="1">
      <formula>WEEKDAY(E$3,2)=6</formula>
    </cfRule>
    <cfRule type="expression" dxfId="163" priority="106" stopIfTrue="1">
      <formula>WEEKDAY(E$3,2)=7</formula>
    </cfRule>
  </conditionalFormatting>
  <conditionalFormatting sqref="E19:AI19">
    <cfRule type="expression" dxfId="162" priority="107" stopIfTrue="1">
      <formula>WEEKDAY(E$3,2)=6</formula>
    </cfRule>
    <cfRule type="expression" dxfId="161" priority="108" stopIfTrue="1">
      <formula>WEEKDAY(E$3,2)=7</formula>
    </cfRule>
  </conditionalFormatting>
  <conditionalFormatting sqref="E20:AI20 E39:AI39">
    <cfRule type="expression" dxfId="160" priority="95" stopIfTrue="1">
      <formula>WEEKDAY(E$3,2)=6</formula>
    </cfRule>
    <cfRule type="expression" dxfId="159" priority="96" stopIfTrue="1">
      <formula>WEEKDAY(E$3,2)=7</formula>
    </cfRule>
  </conditionalFormatting>
  <conditionalFormatting sqref="E21:AI21 E33:AI38">
    <cfRule type="expression" dxfId="158" priority="93" stopIfTrue="1">
      <formula>WEEKDAY(E$3,2)=6</formula>
    </cfRule>
    <cfRule type="expression" dxfId="157" priority="94" stopIfTrue="1">
      <formula>WEEKDAY(E$3,2)=7</formula>
    </cfRule>
  </conditionalFormatting>
  <conditionalFormatting sqref="E22:AI32 E41:AI85 E94:AI106">
    <cfRule type="expression" dxfId="156" priority="97" stopIfTrue="1">
      <formula>WEEKDAY(E$3,2)=6</formula>
    </cfRule>
    <cfRule type="expression" dxfId="155" priority="98" stopIfTrue="1">
      <formula>WEEKDAY(E$3,2)=7</formula>
    </cfRule>
  </conditionalFormatting>
  <conditionalFormatting sqref="E40:AI40">
    <cfRule type="cellIs" dxfId="154" priority="109" stopIfTrue="1" operator="notEqual">
      <formula>0</formula>
    </cfRule>
    <cfRule type="expression" dxfId="153" priority="110" stopIfTrue="1">
      <formula>WEEKDAY(E$3,2)=6</formula>
    </cfRule>
    <cfRule type="expression" dxfId="152" priority="111" stopIfTrue="1">
      <formula>WEEKDAY(E$3,2)=7</formula>
    </cfRule>
  </conditionalFormatting>
  <conditionalFormatting sqref="AI3:AI4">
    <cfRule type="expression" dxfId="151" priority="115" stopIfTrue="1">
      <formula>WEEKDAY(AI$3,2)=7</formula>
    </cfRule>
  </conditionalFormatting>
  <conditionalFormatting sqref="AI7:AI12">
    <cfRule type="expression" dxfId="150" priority="112" stopIfTrue="1">
      <formula>WEEKDAY(AI$3,2)=6</formula>
    </cfRule>
    <cfRule type="expression" dxfId="149" priority="113" stopIfTrue="1">
      <formula>WEEKDAY(AI$3,2)=7</formula>
    </cfRule>
  </conditionalFormatting>
  <printOptions horizontalCentered="1" verticalCentered="1"/>
  <pageMargins left="0.19685039370078741" right="0.19685039370078741" top="0.39370078740157483" bottom="0.19685039370078741" header="0.31496062992125984" footer="0.19685039370078741"/>
  <pageSetup paperSize="9" scale="53" orientation="landscape"/>
  <headerFooter>
    <oddHeader>&amp;C&amp;12Monatsabrechnung   &amp;A</oddHead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9">
    <pageSetUpPr fitToPage="1"/>
  </sheetPr>
  <dimension ref="A1:AT106"/>
  <sheetViews>
    <sheetView showGridLines="0" showRowColHeaders="0" showZeros="0" showOutlineSymbols="0" topLeftCell="C2" zoomScale="80" zoomScaleNormal="80" workbookViewId="0">
      <pane xSplit="2" ySplit="39" topLeftCell="E41" activePane="bottomRight" state="frozen"/>
      <selection pane="topRight"/>
      <selection pane="bottomLeft"/>
      <selection pane="bottomRight" activeCell="E7" sqref="E7"/>
    </sheetView>
  </sheetViews>
  <sheetFormatPr baseColWidth="10" defaultColWidth="11.42578125" defaultRowHeight="12.75" outlineLevelRow="2" outlineLevelCol="1" x14ac:dyDescent="0.2"/>
  <cols>
    <col min="1" max="1" width="11.42578125" style="8" hidden="1" customWidth="1" outlineLevel="1"/>
    <col min="2" max="2" width="8.42578125" style="13" hidden="1" customWidth="1" outlineLevel="1"/>
    <col min="3" max="3" width="22.42578125" style="87" customWidth="1" collapsed="1"/>
    <col min="4" max="4" width="7.85546875" style="13" customWidth="1"/>
    <col min="5" max="35" width="7.42578125" style="13" customWidth="1"/>
    <col min="36" max="36" width="7.42578125" style="209" customWidth="1"/>
    <col min="37" max="37" width="7.7109375" style="13" hidden="1" customWidth="1" outlineLevel="1"/>
    <col min="38" max="38" width="15.7109375" style="182" hidden="1" customWidth="1" outlineLevel="1"/>
    <col min="39" max="40" width="0" style="8" hidden="1" customWidth="1" outlineLevel="1"/>
    <col min="41" max="41" width="26.7109375" style="8" hidden="1" customWidth="1" outlineLevel="1"/>
    <col min="42" max="44" width="0" style="8" hidden="1" customWidth="1" outlineLevel="1"/>
    <col min="45" max="45" width="11.42578125" style="8" collapsed="1"/>
    <col min="46" max="16384" width="11.42578125" style="8"/>
  </cols>
  <sheetData>
    <row r="1" spans="2:46" ht="30" hidden="1" customHeight="1" outlineLevel="1" thickBot="1" x14ac:dyDescent="0.25">
      <c r="AF1" s="8"/>
      <c r="AJ1" s="88"/>
      <c r="AK1" s="89"/>
      <c r="AL1" s="90" t="s">
        <v>406</v>
      </c>
      <c r="AM1" s="91" t="s">
        <v>407</v>
      </c>
      <c r="AN1" s="89"/>
      <c r="AO1" s="89"/>
      <c r="AP1" s="89"/>
      <c r="AQ1" s="89"/>
      <c r="AR1" s="89"/>
    </row>
    <row r="2" spans="2:46" ht="30" customHeight="1" collapsed="1" thickBot="1" x14ac:dyDescent="0.25">
      <c r="C2" s="92">
        <f>DATEVALUE("1.7."&amp;YEAR(ctPersonalangaben!H12))</f>
        <v>44742</v>
      </c>
      <c r="D2" s="93">
        <f>YEAR(ctPersonalangaben!H12)</f>
        <v>2026</v>
      </c>
      <c r="E2" s="897" t="str">
        <f>CONCATENATE("Arbeitszeit-Eingabe von ",Mitarbeiter)</f>
        <v>Arbeitszeit-Eingabe von Max Muster, Musterstelle</v>
      </c>
      <c r="F2" s="6"/>
      <c r="G2" s="6"/>
      <c r="H2" s="6"/>
      <c r="I2" s="94"/>
      <c r="J2" s="6"/>
      <c r="K2" s="6"/>
      <c r="L2" s="6"/>
      <c r="M2" s="6"/>
      <c r="N2" s="6"/>
      <c r="O2" s="6"/>
      <c r="P2" s="6"/>
      <c r="Q2" s="6"/>
      <c r="R2" s="6"/>
      <c r="S2" s="95"/>
      <c r="T2" s="96"/>
      <c r="U2" s="96"/>
      <c r="V2" s="97"/>
      <c r="W2" s="97"/>
      <c r="X2" s="97"/>
      <c r="Y2" s="97"/>
      <c r="Z2" s="97"/>
      <c r="AA2" s="97"/>
      <c r="AB2" s="97"/>
      <c r="AC2" s="97"/>
      <c r="AD2" s="98"/>
      <c r="AE2" s="97"/>
      <c r="AF2" s="99"/>
      <c r="AG2" s="100" t="s">
        <v>408</v>
      </c>
      <c r="AH2" s="99">
        <f>VLOOKUP(DATE($D$2,MONTH($C$2),$E$4),Ferienanspruch,3,TRUE)</f>
        <v>100</v>
      </c>
      <c r="AI2" s="101" t="s">
        <v>106</v>
      </c>
      <c r="AJ2" s="88"/>
      <c r="AK2" s="102"/>
      <c r="AL2" s="91"/>
      <c r="AM2" s="91" t="s">
        <v>409</v>
      </c>
      <c r="AN2" s="89"/>
      <c r="AO2" s="89"/>
      <c r="AP2" s="89"/>
      <c r="AQ2" s="89"/>
      <c r="AR2" s="89"/>
    </row>
    <row r="3" spans="2:46" x14ac:dyDescent="0.2">
      <c r="C3" s="7"/>
      <c r="D3" s="1254" t="s">
        <v>254</v>
      </c>
      <c r="E3" s="226">
        <f t="shared" ref="E3:AF3" si="0">DATE($D$2,MONTH($C$2),E$4)</f>
        <v>44742</v>
      </c>
      <c r="F3" s="103">
        <f t="shared" si="0"/>
        <v>44743</v>
      </c>
      <c r="G3" s="103">
        <f t="shared" si="0"/>
        <v>44744</v>
      </c>
      <c r="H3" s="103">
        <f t="shared" si="0"/>
        <v>44745</v>
      </c>
      <c r="I3" s="226">
        <f t="shared" si="0"/>
        <v>44746</v>
      </c>
      <c r="J3" s="103">
        <f t="shared" si="0"/>
        <v>44747</v>
      </c>
      <c r="K3" s="103">
        <f t="shared" si="0"/>
        <v>44748</v>
      </c>
      <c r="L3" s="103">
        <f t="shared" si="0"/>
        <v>44749</v>
      </c>
      <c r="M3" s="103">
        <f t="shared" si="0"/>
        <v>44750</v>
      </c>
      <c r="N3" s="103">
        <f t="shared" si="0"/>
        <v>44751</v>
      </c>
      <c r="O3" s="103">
        <f t="shared" si="0"/>
        <v>44752</v>
      </c>
      <c r="P3" s="103">
        <f t="shared" si="0"/>
        <v>44753</v>
      </c>
      <c r="Q3" s="103">
        <f t="shared" si="0"/>
        <v>44754</v>
      </c>
      <c r="R3" s="103">
        <f t="shared" si="0"/>
        <v>44755</v>
      </c>
      <c r="S3" s="103">
        <f t="shared" si="0"/>
        <v>44756</v>
      </c>
      <c r="T3" s="103">
        <f t="shared" si="0"/>
        <v>44757</v>
      </c>
      <c r="U3" s="103">
        <f t="shared" si="0"/>
        <v>44758</v>
      </c>
      <c r="V3" s="103">
        <f t="shared" si="0"/>
        <v>44759</v>
      </c>
      <c r="W3" s="103">
        <f t="shared" si="0"/>
        <v>44760</v>
      </c>
      <c r="X3" s="103">
        <f t="shared" si="0"/>
        <v>44761</v>
      </c>
      <c r="Y3" s="103">
        <f t="shared" si="0"/>
        <v>44762</v>
      </c>
      <c r="Z3" s="103">
        <f t="shared" si="0"/>
        <v>44763</v>
      </c>
      <c r="AA3" s="103">
        <f t="shared" si="0"/>
        <v>44764</v>
      </c>
      <c r="AB3" s="103">
        <f t="shared" si="0"/>
        <v>44765</v>
      </c>
      <c r="AC3" s="103">
        <f t="shared" si="0"/>
        <v>44766</v>
      </c>
      <c r="AD3" s="104">
        <f t="shared" si="0"/>
        <v>44767</v>
      </c>
      <c r="AE3" s="104">
        <f t="shared" si="0"/>
        <v>44768</v>
      </c>
      <c r="AF3" s="104">
        <f t="shared" si="0"/>
        <v>44769</v>
      </c>
      <c r="AG3" s="104">
        <f>IF(MONTH($C2+AG$5) = MONTH($C2),DATE($D$2,MONTH($C$2),AG$5+1),"")</f>
        <v>44770</v>
      </c>
      <c r="AH3" s="104">
        <f>IF(MONTH($C2+AH$5) = MONTH($C2),DATE($D$2,MONTH($C$2),AH$5+1),"")</f>
        <v>44771</v>
      </c>
      <c r="AI3" s="105">
        <f>IF(MONTH($C2+AI$5) = MONTH($C2),DATE($D$2,MONTH($C$2),AI$5+1),"")</f>
        <v>44772</v>
      </c>
      <c r="AJ3" s="88"/>
      <c r="AK3" s="106"/>
      <c r="AL3" s="91"/>
      <c r="AM3" s="91"/>
      <c r="AN3" s="89"/>
      <c r="AO3" s="89"/>
      <c r="AP3" s="89"/>
      <c r="AQ3" s="89"/>
      <c r="AR3" s="89"/>
    </row>
    <row r="4" spans="2:46" ht="19.5" customHeight="1" x14ac:dyDescent="0.2">
      <c r="C4" s="13"/>
      <c r="D4" s="1255"/>
      <c r="E4" s="227">
        <v>1</v>
      </c>
      <c r="F4" s="107">
        <v>2</v>
      </c>
      <c r="G4" s="107">
        <v>3</v>
      </c>
      <c r="H4" s="107">
        <v>4</v>
      </c>
      <c r="I4" s="227">
        <v>5</v>
      </c>
      <c r="J4" s="107">
        <v>6</v>
      </c>
      <c r="K4" s="107">
        <v>7</v>
      </c>
      <c r="L4" s="107">
        <v>8</v>
      </c>
      <c r="M4" s="107">
        <v>9</v>
      </c>
      <c r="N4" s="107">
        <v>10</v>
      </c>
      <c r="O4" s="107">
        <v>11</v>
      </c>
      <c r="P4" s="107">
        <v>12</v>
      </c>
      <c r="Q4" s="107">
        <v>13</v>
      </c>
      <c r="R4" s="107">
        <v>14</v>
      </c>
      <c r="S4" s="107">
        <v>15</v>
      </c>
      <c r="T4" s="107">
        <v>16</v>
      </c>
      <c r="U4" s="107">
        <v>17</v>
      </c>
      <c r="V4" s="107">
        <v>18</v>
      </c>
      <c r="W4" s="107">
        <v>19</v>
      </c>
      <c r="X4" s="107">
        <v>20</v>
      </c>
      <c r="Y4" s="107">
        <v>21</v>
      </c>
      <c r="Z4" s="107">
        <v>22</v>
      </c>
      <c r="AA4" s="107">
        <v>23</v>
      </c>
      <c r="AB4" s="107">
        <v>24</v>
      </c>
      <c r="AC4" s="107">
        <v>25</v>
      </c>
      <c r="AD4" s="107">
        <v>26</v>
      </c>
      <c r="AE4" s="107">
        <v>27</v>
      </c>
      <c r="AF4" s="107">
        <v>28</v>
      </c>
      <c r="AG4" s="107">
        <f>IF(MONTH($C2+AG5) = MONTH($C2),AG$5+1,"")</f>
        <v>29</v>
      </c>
      <c r="AH4" s="107">
        <f>IF(MONTH($C2+AH5) = MONTH($C2),AH$5+1,"")</f>
        <v>30</v>
      </c>
      <c r="AI4" s="108">
        <f>IF(MONTH($C2+AI5) = MONTH($C2),AI$5+1,"")</f>
        <v>31</v>
      </c>
      <c r="AJ4" s="88"/>
      <c r="AK4" s="106"/>
      <c r="AL4" s="91"/>
      <c r="AM4" s="91"/>
      <c r="AN4" s="89"/>
      <c r="AO4" s="89"/>
      <c r="AP4" s="89"/>
      <c r="AQ4" s="89"/>
      <c r="AR4" s="89"/>
    </row>
    <row r="5" spans="2:46" ht="19.5" hidden="1" customHeight="1" outlineLevel="1" x14ac:dyDescent="0.2">
      <c r="C5" s="13"/>
      <c r="D5" s="109"/>
      <c r="E5" s="110"/>
      <c r="F5" s="110">
        <v>1</v>
      </c>
      <c r="G5" s="110">
        <v>2</v>
      </c>
      <c r="H5" s="228">
        <v>3</v>
      </c>
      <c r="I5" s="110">
        <v>4</v>
      </c>
      <c r="J5" s="110">
        <v>5</v>
      </c>
      <c r="K5" s="110">
        <v>6</v>
      </c>
      <c r="L5" s="110">
        <v>7</v>
      </c>
      <c r="M5" s="110">
        <v>8</v>
      </c>
      <c r="N5" s="110">
        <v>9</v>
      </c>
      <c r="O5" s="110">
        <v>10</v>
      </c>
      <c r="P5" s="110">
        <v>11</v>
      </c>
      <c r="Q5" s="110">
        <v>12</v>
      </c>
      <c r="R5" s="110">
        <v>13</v>
      </c>
      <c r="S5" s="110">
        <v>14</v>
      </c>
      <c r="T5" s="110">
        <v>15</v>
      </c>
      <c r="U5" s="110">
        <v>16</v>
      </c>
      <c r="V5" s="110">
        <v>17</v>
      </c>
      <c r="W5" s="110">
        <v>18</v>
      </c>
      <c r="X5" s="110">
        <v>19</v>
      </c>
      <c r="Y5" s="110">
        <v>20</v>
      </c>
      <c r="Z5" s="110">
        <v>21</v>
      </c>
      <c r="AA5" s="110">
        <v>22</v>
      </c>
      <c r="AB5" s="110">
        <v>23</v>
      </c>
      <c r="AC5" s="110">
        <v>24</v>
      </c>
      <c r="AD5" s="110">
        <v>25</v>
      </c>
      <c r="AE5" s="110">
        <v>26</v>
      </c>
      <c r="AF5" s="110">
        <v>27</v>
      </c>
      <c r="AG5" s="110">
        <v>28</v>
      </c>
      <c r="AH5" s="110">
        <v>29</v>
      </c>
      <c r="AI5" s="111">
        <v>30</v>
      </c>
      <c r="AJ5" s="88"/>
      <c r="AK5" s="102"/>
      <c r="AL5" s="91"/>
      <c r="AM5" s="91"/>
      <c r="AN5" s="89"/>
      <c r="AO5" s="89"/>
      <c r="AP5" s="89"/>
      <c r="AQ5" s="89"/>
      <c r="AR5" s="89"/>
    </row>
    <row r="6" spans="2:46" ht="19.5" hidden="1" customHeight="1" outlineLevel="1" x14ac:dyDescent="0.2">
      <c r="C6" s="13"/>
      <c r="D6" s="109"/>
      <c r="E6" s="288">
        <f>WEEKDAY(E$3,2)</f>
        <v>3</v>
      </c>
      <c r="F6" s="288">
        <f t="shared" ref="F6:AF6" si="1">WEEKDAY(F$3,2)</f>
        <v>4</v>
      </c>
      <c r="G6" s="288">
        <f t="shared" si="1"/>
        <v>5</v>
      </c>
      <c r="H6" s="898">
        <f t="shared" si="1"/>
        <v>6</v>
      </c>
      <c r="I6" s="288">
        <f t="shared" si="1"/>
        <v>7</v>
      </c>
      <c r="J6" s="288">
        <f t="shared" si="1"/>
        <v>1</v>
      </c>
      <c r="K6" s="288">
        <f t="shared" si="1"/>
        <v>2</v>
      </c>
      <c r="L6" s="288">
        <f t="shared" si="1"/>
        <v>3</v>
      </c>
      <c r="M6" s="288">
        <f t="shared" si="1"/>
        <v>4</v>
      </c>
      <c r="N6" s="288">
        <f t="shared" si="1"/>
        <v>5</v>
      </c>
      <c r="O6" s="288">
        <f t="shared" si="1"/>
        <v>6</v>
      </c>
      <c r="P6" s="288">
        <f t="shared" si="1"/>
        <v>7</v>
      </c>
      <c r="Q6" s="288">
        <f t="shared" si="1"/>
        <v>1</v>
      </c>
      <c r="R6" s="288">
        <f t="shared" si="1"/>
        <v>2</v>
      </c>
      <c r="S6" s="288">
        <f t="shared" si="1"/>
        <v>3</v>
      </c>
      <c r="T6" s="288">
        <f t="shared" si="1"/>
        <v>4</v>
      </c>
      <c r="U6" s="288">
        <f t="shared" si="1"/>
        <v>5</v>
      </c>
      <c r="V6" s="288">
        <f t="shared" si="1"/>
        <v>6</v>
      </c>
      <c r="W6" s="288">
        <f t="shared" si="1"/>
        <v>7</v>
      </c>
      <c r="X6" s="288">
        <f t="shared" si="1"/>
        <v>1</v>
      </c>
      <c r="Y6" s="288">
        <f t="shared" si="1"/>
        <v>2</v>
      </c>
      <c r="Z6" s="288">
        <f t="shared" si="1"/>
        <v>3</v>
      </c>
      <c r="AA6" s="288">
        <f t="shared" si="1"/>
        <v>4</v>
      </c>
      <c r="AB6" s="288">
        <f t="shared" si="1"/>
        <v>5</v>
      </c>
      <c r="AC6" s="288">
        <f t="shared" si="1"/>
        <v>6</v>
      </c>
      <c r="AD6" s="288">
        <f t="shared" si="1"/>
        <v>7</v>
      </c>
      <c r="AE6" s="288">
        <f t="shared" si="1"/>
        <v>1</v>
      </c>
      <c r="AF6" s="288">
        <f t="shared" si="1"/>
        <v>2</v>
      </c>
      <c r="AG6" s="288">
        <f>IF(AG3&lt;&gt;"",WEEKDAY(AG$3,2),"")</f>
        <v>3</v>
      </c>
      <c r="AH6" s="288"/>
      <c r="AI6" s="899"/>
      <c r="AJ6" s="88"/>
      <c r="AK6" s="102"/>
      <c r="AL6" s="91"/>
      <c r="AM6" s="91"/>
      <c r="AN6" s="89"/>
      <c r="AO6" s="89"/>
      <c r="AP6" s="89"/>
      <c r="AQ6" s="89"/>
      <c r="AR6" s="89"/>
    </row>
    <row r="7" spans="2:46" ht="22.5" customHeight="1" collapsed="1" x14ac:dyDescent="0.2">
      <c r="C7" s="8"/>
      <c r="D7" s="112" t="str">
        <f>Januar!D7</f>
        <v>Beginn</v>
      </c>
      <c r="E7" s="1042">
        <v>0</v>
      </c>
      <c r="F7" s="1042">
        <v>0</v>
      </c>
      <c r="G7" s="1042">
        <v>0</v>
      </c>
      <c r="H7" s="1042">
        <v>0</v>
      </c>
      <c r="I7" s="1042">
        <v>0</v>
      </c>
      <c r="J7" s="1042">
        <v>0</v>
      </c>
      <c r="K7" s="1042">
        <v>0</v>
      </c>
      <c r="L7" s="1042">
        <v>0</v>
      </c>
      <c r="M7" s="1042">
        <v>0</v>
      </c>
      <c r="N7" s="1042">
        <v>0</v>
      </c>
      <c r="O7" s="1042">
        <v>0</v>
      </c>
      <c r="P7" s="1042">
        <v>0</v>
      </c>
      <c r="Q7" s="1042">
        <v>0</v>
      </c>
      <c r="R7" s="1042">
        <v>0</v>
      </c>
      <c r="S7" s="1042">
        <v>0</v>
      </c>
      <c r="T7" s="1042">
        <v>0</v>
      </c>
      <c r="U7" s="1042">
        <v>0</v>
      </c>
      <c r="V7" s="1042">
        <v>0</v>
      </c>
      <c r="W7" s="1042">
        <v>0</v>
      </c>
      <c r="X7" s="1042">
        <v>0</v>
      </c>
      <c r="Y7" s="1042">
        <v>0</v>
      </c>
      <c r="Z7" s="1042">
        <v>0</v>
      </c>
      <c r="AA7" s="1042">
        <v>0</v>
      </c>
      <c r="AB7" s="1042">
        <v>0</v>
      </c>
      <c r="AC7" s="1042">
        <v>0</v>
      </c>
      <c r="AD7" s="1042">
        <v>0</v>
      </c>
      <c r="AE7" s="1042">
        <v>0</v>
      </c>
      <c r="AF7" s="1042">
        <v>0</v>
      </c>
      <c r="AG7" s="1042">
        <v>0</v>
      </c>
      <c r="AH7" s="1042">
        <v>0</v>
      </c>
      <c r="AI7" s="1043">
        <v>0</v>
      </c>
      <c r="AJ7" s="88"/>
      <c r="AK7" s="900"/>
      <c r="AL7" s="91"/>
      <c r="AM7" s="91"/>
      <c r="AN7" s="113"/>
      <c r="AO7" s="89"/>
      <c r="AP7" s="89"/>
      <c r="AQ7" s="89"/>
      <c r="AR7" s="89"/>
    </row>
    <row r="8" spans="2:46" ht="22.5" customHeight="1" x14ac:dyDescent="0.2">
      <c r="C8" s="901"/>
      <c r="D8" s="112" t="str">
        <f>Januar!D8</f>
        <v>Ende</v>
      </c>
      <c r="E8" s="235"/>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4"/>
      <c r="AJ8" s="88"/>
      <c r="AK8" s="900"/>
      <c r="AL8" s="91"/>
      <c r="AM8" s="91"/>
      <c r="AN8" s="89"/>
      <c r="AO8" s="89"/>
      <c r="AP8" s="89"/>
      <c r="AQ8" s="89"/>
      <c r="AR8" s="89"/>
    </row>
    <row r="9" spans="2:46" ht="22.5" customHeight="1" x14ac:dyDescent="0.2">
      <c r="C9" s="8"/>
      <c r="D9" s="112" t="str">
        <f>Januar!D9</f>
        <v>Beginn</v>
      </c>
      <c r="E9" s="1041"/>
      <c r="F9" s="1042"/>
      <c r="G9" s="1042"/>
      <c r="H9" s="1042"/>
      <c r="I9" s="1042"/>
      <c r="J9" s="1042"/>
      <c r="K9" s="1042"/>
      <c r="L9" s="1042"/>
      <c r="M9" s="1042"/>
      <c r="N9" s="1042"/>
      <c r="O9" s="1042"/>
      <c r="P9" s="1042"/>
      <c r="Q9" s="1042"/>
      <c r="R9" s="1042"/>
      <c r="S9" s="1042"/>
      <c r="T9" s="1042"/>
      <c r="U9" s="1042"/>
      <c r="V9" s="1042"/>
      <c r="W9" s="1042"/>
      <c r="X9" s="1042"/>
      <c r="Y9" s="1042"/>
      <c r="Z9" s="1042"/>
      <c r="AA9" s="1042"/>
      <c r="AB9" s="1042"/>
      <c r="AC9" s="1042"/>
      <c r="AD9" s="1042"/>
      <c r="AE9" s="1042"/>
      <c r="AF9" s="1042"/>
      <c r="AG9" s="1042"/>
      <c r="AH9" s="1042"/>
      <c r="AI9" s="1043"/>
      <c r="AJ9" s="88"/>
      <c r="AK9" s="900"/>
      <c r="AL9" s="91"/>
      <c r="AM9" s="91"/>
      <c r="AN9" s="89"/>
      <c r="AO9" s="89"/>
      <c r="AP9" s="89"/>
      <c r="AQ9" s="89"/>
      <c r="AR9" s="89"/>
    </row>
    <row r="10" spans="2:46" ht="22.5" customHeight="1" x14ac:dyDescent="0.2">
      <c r="C10" s="901"/>
      <c r="D10" s="112" t="str">
        <f>Januar!D10</f>
        <v>Ende</v>
      </c>
      <c r="E10" s="235"/>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4"/>
      <c r="AJ10" s="88"/>
      <c r="AK10" s="900"/>
      <c r="AL10" s="900"/>
      <c r="AM10" s="114"/>
      <c r="AN10" s="114"/>
      <c r="AO10" s="114"/>
      <c r="AP10" s="89"/>
      <c r="AQ10" s="89"/>
      <c r="AR10" s="89"/>
    </row>
    <row r="11" spans="2:46" ht="22.5" customHeight="1" x14ac:dyDescent="0.2">
      <c r="C11" s="8"/>
      <c r="D11" s="112" t="str">
        <f>Januar!D11</f>
        <v>Beginn</v>
      </c>
      <c r="E11" s="1041"/>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3"/>
      <c r="AJ11" s="88"/>
      <c r="AK11" s="115"/>
      <c r="AL11" s="89"/>
      <c r="AM11" s="89"/>
      <c r="AN11" s="89"/>
      <c r="AO11" s="89"/>
      <c r="AP11" s="89"/>
      <c r="AQ11" s="89"/>
      <c r="AR11" s="89"/>
    </row>
    <row r="12" spans="2:46" ht="22.5" customHeight="1" x14ac:dyDescent="0.2">
      <c r="C12" s="116"/>
      <c r="D12" s="112" t="str">
        <f>Januar!D12</f>
        <v>Ende</v>
      </c>
      <c r="E12" s="235"/>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4"/>
      <c r="AJ12" s="88"/>
      <c r="AK12" s="902"/>
      <c r="AL12" s="91" t="s">
        <v>411</v>
      </c>
      <c r="AM12" s="91"/>
      <c r="AN12" s="113"/>
      <c r="AO12" s="89"/>
      <c r="AP12" s="89"/>
      <c r="AQ12" s="89"/>
      <c r="AR12" s="89"/>
    </row>
    <row r="13" spans="2:46" s="123" customFormat="1" x14ac:dyDescent="0.2">
      <c r="B13" s="117"/>
      <c r="C13" s="118" t="str">
        <f>Januar!C13</f>
        <v>Effektive Arbeitszeit</v>
      </c>
      <c r="D13" s="119"/>
      <c r="E13" s="1044">
        <f>IF(COUNT(E7:E12)&gt;0,E12-E11+E10-E9+E8-E7,E39)</f>
        <v>0</v>
      </c>
      <c r="F13" s="1045">
        <f t="shared" ref="F13:AI13" si="2">IF(COUNT(F7:F12)&gt;0,F12-F11+F10-F9+F8-F7,F39)</f>
        <v>0</v>
      </c>
      <c r="G13" s="1045">
        <f t="shared" si="2"/>
        <v>0</v>
      </c>
      <c r="H13" s="1045">
        <f t="shared" si="2"/>
        <v>0</v>
      </c>
      <c r="I13" s="1045">
        <f t="shared" si="2"/>
        <v>0</v>
      </c>
      <c r="J13" s="1045">
        <f t="shared" si="2"/>
        <v>0</v>
      </c>
      <c r="K13" s="1045">
        <f t="shared" si="2"/>
        <v>0</v>
      </c>
      <c r="L13" s="1045">
        <f t="shared" si="2"/>
        <v>0</v>
      </c>
      <c r="M13" s="1045">
        <f t="shared" si="2"/>
        <v>0</v>
      </c>
      <c r="N13" s="1045">
        <f t="shared" si="2"/>
        <v>0</v>
      </c>
      <c r="O13" s="1045">
        <f t="shared" si="2"/>
        <v>0</v>
      </c>
      <c r="P13" s="1045">
        <f t="shared" si="2"/>
        <v>0</v>
      </c>
      <c r="Q13" s="1045">
        <f t="shared" si="2"/>
        <v>0</v>
      </c>
      <c r="R13" s="1045">
        <f t="shared" si="2"/>
        <v>0</v>
      </c>
      <c r="S13" s="1045">
        <f t="shared" si="2"/>
        <v>0</v>
      </c>
      <c r="T13" s="1045">
        <f t="shared" si="2"/>
        <v>0</v>
      </c>
      <c r="U13" s="1045">
        <f t="shared" si="2"/>
        <v>0</v>
      </c>
      <c r="V13" s="1045">
        <f t="shared" si="2"/>
        <v>0</v>
      </c>
      <c r="W13" s="1045">
        <f t="shared" si="2"/>
        <v>0</v>
      </c>
      <c r="X13" s="1045">
        <f t="shared" si="2"/>
        <v>0</v>
      </c>
      <c r="Y13" s="1045">
        <f t="shared" si="2"/>
        <v>0</v>
      </c>
      <c r="Z13" s="1045">
        <f t="shared" si="2"/>
        <v>0</v>
      </c>
      <c r="AA13" s="1045">
        <f t="shared" si="2"/>
        <v>0</v>
      </c>
      <c r="AB13" s="1045">
        <f t="shared" si="2"/>
        <v>0</v>
      </c>
      <c r="AC13" s="1045">
        <f t="shared" si="2"/>
        <v>0</v>
      </c>
      <c r="AD13" s="1045">
        <f t="shared" si="2"/>
        <v>0</v>
      </c>
      <c r="AE13" s="1045">
        <f t="shared" si="2"/>
        <v>0</v>
      </c>
      <c r="AF13" s="1045">
        <f t="shared" si="2"/>
        <v>0</v>
      </c>
      <c r="AG13" s="1045">
        <f t="shared" si="2"/>
        <v>0</v>
      </c>
      <c r="AH13" s="1045">
        <f t="shared" si="2"/>
        <v>0</v>
      </c>
      <c r="AI13" s="1046">
        <f t="shared" si="2"/>
        <v>0</v>
      </c>
      <c r="AJ13" s="1047">
        <f t="shared" ref="AJ13:AJ18" si="3">SUM(E13:AI13)</f>
        <v>0</v>
      </c>
      <c r="AK13" s="120"/>
      <c r="AL13" s="121" t="s">
        <v>413</v>
      </c>
      <c r="AM13" s="121"/>
      <c r="AN13" s="122"/>
      <c r="AS13" s="124"/>
    </row>
    <row r="14" spans="2:46" s="129" customFormat="1" x14ac:dyDescent="0.2">
      <c r="B14" s="117"/>
      <c r="C14" s="118" t="str">
        <f>Januar!C14</f>
        <v>inkl. Basiszeit / Feiertage</v>
      </c>
      <c r="D14" s="125"/>
      <c r="E14" s="126">
        <f>ROUND(SUM(E13,E15,E21,E22,E24:E38),8)</f>
        <v>0</v>
      </c>
      <c r="F14" s="127">
        <f>ROUND(SUM(F13,F15,F21,F22,F24:F38),8)</f>
        <v>0</v>
      </c>
      <c r="G14" s="127">
        <f t="shared" ref="G14:AI14" si="4">ROUND(SUM(G13,G15,G21,G22,G24:G38),8)</f>
        <v>0</v>
      </c>
      <c r="H14" s="127">
        <f t="shared" si="4"/>
        <v>0</v>
      </c>
      <c r="I14" s="127">
        <f t="shared" si="4"/>
        <v>0</v>
      </c>
      <c r="J14" s="127">
        <f t="shared" si="4"/>
        <v>0</v>
      </c>
      <c r="K14" s="127">
        <f t="shared" si="4"/>
        <v>0</v>
      </c>
      <c r="L14" s="127">
        <f t="shared" si="4"/>
        <v>0</v>
      </c>
      <c r="M14" s="127">
        <f t="shared" si="4"/>
        <v>0</v>
      </c>
      <c r="N14" s="127">
        <f t="shared" si="4"/>
        <v>0</v>
      </c>
      <c r="O14" s="127">
        <f t="shared" si="4"/>
        <v>0</v>
      </c>
      <c r="P14" s="127">
        <f t="shared" si="4"/>
        <v>0</v>
      </c>
      <c r="Q14" s="127">
        <f t="shared" si="4"/>
        <v>0</v>
      </c>
      <c r="R14" s="127">
        <f t="shared" si="4"/>
        <v>0</v>
      </c>
      <c r="S14" s="127">
        <f t="shared" si="4"/>
        <v>0</v>
      </c>
      <c r="T14" s="127">
        <f t="shared" si="4"/>
        <v>0</v>
      </c>
      <c r="U14" s="127">
        <f t="shared" si="4"/>
        <v>0</v>
      </c>
      <c r="V14" s="127">
        <f t="shared" si="4"/>
        <v>0</v>
      </c>
      <c r="W14" s="127">
        <f t="shared" si="4"/>
        <v>0</v>
      </c>
      <c r="X14" s="127">
        <f t="shared" si="4"/>
        <v>0</v>
      </c>
      <c r="Y14" s="127">
        <f t="shared" si="4"/>
        <v>0</v>
      </c>
      <c r="Z14" s="127">
        <f t="shared" si="4"/>
        <v>0</v>
      </c>
      <c r="AA14" s="127">
        <f t="shared" si="4"/>
        <v>0</v>
      </c>
      <c r="AB14" s="127">
        <f t="shared" si="4"/>
        <v>0</v>
      </c>
      <c r="AC14" s="127">
        <f t="shared" si="4"/>
        <v>0</v>
      </c>
      <c r="AD14" s="127">
        <f t="shared" si="4"/>
        <v>0</v>
      </c>
      <c r="AE14" s="127">
        <f t="shared" si="4"/>
        <v>0</v>
      </c>
      <c r="AF14" s="127">
        <f t="shared" si="4"/>
        <v>0</v>
      </c>
      <c r="AG14" s="127">
        <f t="shared" si="4"/>
        <v>0</v>
      </c>
      <c r="AH14" s="127">
        <f t="shared" si="4"/>
        <v>0</v>
      </c>
      <c r="AI14" s="127">
        <f t="shared" si="4"/>
        <v>0</v>
      </c>
      <c r="AJ14" s="128">
        <f t="shared" si="3"/>
        <v>0</v>
      </c>
      <c r="AK14" s="1048">
        <f>AJ14-AJ16-IF(Eingabeblatt!D7="NEIN",AJ85,AJ85/1.25)</f>
        <v>-8.0499999999999972</v>
      </c>
      <c r="AL14" s="117" t="s">
        <v>415</v>
      </c>
      <c r="AM14" s="121"/>
      <c r="AN14" s="122"/>
      <c r="AT14" s="123"/>
    </row>
    <row r="15" spans="2:46" s="129" customFormat="1" x14ac:dyDescent="0.2">
      <c r="B15" s="117">
        <f>ctFeierFreitage!K28</f>
        <v>3.3166666666666669</v>
      </c>
      <c r="C15" s="118" t="str">
        <f>Januar!C15</f>
        <v>Feiertagsanspruch</v>
      </c>
      <c r="D15" s="125"/>
      <c r="E15" s="126">
        <f t="shared" ref="E15:AI15" si="5">IF(ISERROR(VLOOKUP(DATE($D$2,MONTH($C$2),E$4),Feiertagsanspruch,9,FALSE)),0,VLOOKUP(DATE($D$2,MONTH($C$2),E$4),Feiertagsanspruch,9,FALSE))</f>
        <v>0</v>
      </c>
      <c r="F15" s="127">
        <f t="shared" si="5"/>
        <v>0</v>
      </c>
      <c r="G15" s="127">
        <f t="shared" si="5"/>
        <v>0</v>
      </c>
      <c r="H15" s="127">
        <f t="shared" si="5"/>
        <v>0</v>
      </c>
      <c r="I15" s="127">
        <f t="shared" si="5"/>
        <v>0</v>
      </c>
      <c r="J15" s="127">
        <f t="shared" si="5"/>
        <v>0</v>
      </c>
      <c r="K15" s="127">
        <f t="shared" si="5"/>
        <v>0</v>
      </c>
      <c r="L15" s="127">
        <f t="shared" si="5"/>
        <v>0</v>
      </c>
      <c r="M15" s="127">
        <f t="shared" si="5"/>
        <v>0</v>
      </c>
      <c r="N15" s="127">
        <f t="shared" si="5"/>
        <v>0</v>
      </c>
      <c r="O15" s="127">
        <f t="shared" si="5"/>
        <v>0</v>
      </c>
      <c r="P15" s="127">
        <f t="shared" si="5"/>
        <v>0</v>
      </c>
      <c r="Q15" s="127">
        <f t="shared" si="5"/>
        <v>0</v>
      </c>
      <c r="R15" s="127">
        <f t="shared" si="5"/>
        <v>0</v>
      </c>
      <c r="S15" s="127">
        <f t="shared" si="5"/>
        <v>0</v>
      </c>
      <c r="T15" s="127">
        <f t="shared" si="5"/>
        <v>0</v>
      </c>
      <c r="U15" s="127">
        <f t="shared" si="5"/>
        <v>0</v>
      </c>
      <c r="V15" s="127">
        <f t="shared" si="5"/>
        <v>0</v>
      </c>
      <c r="W15" s="127">
        <f t="shared" si="5"/>
        <v>0</v>
      </c>
      <c r="X15" s="127">
        <f t="shared" si="5"/>
        <v>0</v>
      </c>
      <c r="Y15" s="127">
        <f t="shared" si="5"/>
        <v>0</v>
      </c>
      <c r="Z15" s="127">
        <f t="shared" si="5"/>
        <v>0</v>
      </c>
      <c r="AA15" s="127">
        <f t="shared" si="5"/>
        <v>0</v>
      </c>
      <c r="AB15" s="127">
        <f t="shared" si="5"/>
        <v>0</v>
      </c>
      <c r="AC15" s="127">
        <f t="shared" si="5"/>
        <v>0</v>
      </c>
      <c r="AD15" s="127">
        <f t="shared" si="5"/>
        <v>0</v>
      </c>
      <c r="AE15" s="127">
        <f t="shared" si="5"/>
        <v>0</v>
      </c>
      <c r="AF15" s="127">
        <f t="shared" si="5"/>
        <v>0</v>
      </c>
      <c r="AG15" s="127">
        <f t="shared" si="5"/>
        <v>0</v>
      </c>
      <c r="AH15" s="127">
        <f t="shared" si="5"/>
        <v>0</v>
      </c>
      <c r="AI15" s="127">
        <f t="shared" si="5"/>
        <v>0</v>
      </c>
      <c r="AJ15" s="128">
        <f t="shared" si="3"/>
        <v>0</v>
      </c>
      <c r="AK15" s="1048"/>
      <c r="AL15" s="117"/>
      <c r="AM15" s="121"/>
      <c r="AN15" s="122"/>
      <c r="AT15" s="123"/>
    </row>
    <row r="16" spans="2:46" s="123" customFormat="1" hidden="1" outlineLevel="1" x14ac:dyDescent="0.2">
      <c r="B16" s="117"/>
      <c r="C16" s="118" t="str">
        <f>Januar!C16</f>
        <v>SOLL-Arbeitszeit</v>
      </c>
      <c r="D16" s="119"/>
      <c r="E16" s="126">
        <f>IF(ROUND(E17-E15,8)&lt;0,0,ROUND(E17-E15,8))</f>
        <v>0.35</v>
      </c>
      <c r="F16" s="127">
        <f>IF(ROUND(F17-F15,8)&lt;0,0,ROUND(F17-F15,8))</f>
        <v>0.35</v>
      </c>
      <c r="G16" s="127">
        <f t="shared" ref="G16:AI16" si="6">IF(ROUND(G17-G15,8)&lt;0,0,ROUND(G17-G15,8))</f>
        <v>0.35</v>
      </c>
      <c r="H16" s="127">
        <f t="shared" si="6"/>
        <v>0</v>
      </c>
      <c r="I16" s="127">
        <f t="shared" si="6"/>
        <v>0</v>
      </c>
      <c r="J16" s="127">
        <f t="shared" si="6"/>
        <v>0.35</v>
      </c>
      <c r="K16" s="127">
        <f t="shared" si="6"/>
        <v>0.35</v>
      </c>
      <c r="L16" s="127">
        <f t="shared" si="6"/>
        <v>0.35</v>
      </c>
      <c r="M16" s="127">
        <f t="shared" si="6"/>
        <v>0.35</v>
      </c>
      <c r="N16" s="127">
        <f t="shared" si="6"/>
        <v>0.35</v>
      </c>
      <c r="O16" s="127">
        <f t="shared" si="6"/>
        <v>0</v>
      </c>
      <c r="P16" s="127">
        <f t="shared" si="6"/>
        <v>0</v>
      </c>
      <c r="Q16" s="127">
        <f t="shared" si="6"/>
        <v>0.35</v>
      </c>
      <c r="R16" s="127">
        <f t="shared" si="6"/>
        <v>0.35</v>
      </c>
      <c r="S16" s="127">
        <f t="shared" si="6"/>
        <v>0.35</v>
      </c>
      <c r="T16" s="127">
        <f t="shared" si="6"/>
        <v>0.35</v>
      </c>
      <c r="U16" s="127">
        <f t="shared" si="6"/>
        <v>0.35</v>
      </c>
      <c r="V16" s="127">
        <f t="shared" si="6"/>
        <v>0</v>
      </c>
      <c r="W16" s="127">
        <f t="shared" si="6"/>
        <v>0</v>
      </c>
      <c r="X16" s="127">
        <f t="shared" si="6"/>
        <v>0.35</v>
      </c>
      <c r="Y16" s="127">
        <f t="shared" si="6"/>
        <v>0.35</v>
      </c>
      <c r="Z16" s="127">
        <f t="shared" si="6"/>
        <v>0.35</v>
      </c>
      <c r="AA16" s="127">
        <f t="shared" si="6"/>
        <v>0.35</v>
      </c>
      <c r="AB16" s="127">
        <f t="shared" si="6"/>
        <v>0.35</v>
      </c>
      <c r="AC16" s="127">
        <f t="shared" si="6"/>
        <v>0</v>
      </c>
      <c r="AD16" s="127">
        <f t="shared" si="6"/>
        <v>0</v>
      </c>
      <c r="AE16" s="127">
        <f t="shared" si="6"/>
        <v>0.35</v>
      </c>
      <c r="AF16" s="127">
        <f t="shared" si="6"/>
        <v>0.35</v>
      </c>
      <c r="AG16" s="127">
        <f t="shared" si="6"/>
        <v>0.35</v>
      </c>
      <c r="AH16" s="127">
        <f t="shared" si="6"/>
        <v>0.35</v>
      </c>
      <c r="AI16" s="127">
        <f t="shared" si="6"/>
        <v>0.35</v>
      </c>
      <c r="AJ16" s="128">
        <f t="shared" si="3"/>
        <v>8.0499999999999972</v>
      </c>
      <c r="AK16" s="130"/>
      <c r="AL16" s="121" t="s">
        <v>416</v>
      </c>
      <c r="AM16" s="121"/>
      <c r="AN16" s="122"/>
      <c r="AT16" s="129"/>
    </row>
    <row r="17" spans="1:46" s="123" customFormat="1" collapsed="1" x14ac:dyDescent="0.2">
      <c r="B17" s="117"/>
      <c r="C17" s="118" t="str">
        <f>Januar!C17</f>
        <v>Regelarbeitszeit</v>
      </c>
      <c r="D17" s="119"/>
      <c r="E17" s="126">
        <f>IF(ISERROR(IF(E4&lt;&gt;0,VLOOKUP(DATE($D$2,MONTH($C$2),E$4),Raz,WEEKDAY(DATE($D$2,MONTH($C$2),E$4))+2),0)),0,IF(E4&lt;&gt;0,VLOOKUP(DATE($D$2,MONTH($C$2),E$4),Raz,WEEKDAY(DATE($D$2,MONTH($C$2),E$4))+2),0))</f>
        <v>0.35000000000000003</v>
      </c>
      <c r="F17" s="127">
        <f t="shared" ref="F17:AI17" si="7">IF(ISERROR(IF(F4&lt;&gt;0,VLOOKUP(DATE($D$2,MONTH($C$2),F$4),Raz,WEEKDAY(DATE($D$2,MONTH($C$2),F$4))+2),0)),0,IF(F4&lt;&gt;0,VLOOKUP(DATE($D$2,MONTH($C$2),F$4),Raz,WEEKDAY(DATE($D$2,MONTH($C$2),F$4))+2),0))</f>
        <v>0.35</v>
      </c>
      <c r="G17" s="127">
        <f t="shared" si="7"/>
        <v>0.35000000000000003</v>
      </c>
      <c r="H17" s="127">
        <f t="shared" si="7"/>
        <v>0</v>
      </c>
      <c r="I17" s="127">
        <f t="shared" si="7"/>
        <v>0</v>
      </c>
      <c r="J17" s="127">
        <f t="shared" si="7"/>
        <v>0.35000000000000003</v>
      </c>
      <c r="K17" s="127">
        <f t="shared" si="7"/>
        <v>0.35000000000000003</v>
      </c>
      <c r="L17" s="127">
        <f t="shared" si="7"/>
        <v>0.35000000000000003</v>
      </c>
      <c r="M17" s="127">
        <f t="shared" si="7"/>
        <v>0.35</v>
      </c>
      <c r="N17" s="127">
        <f t="shared" si="7"/>
        <v>0.35000000000000003</v>
      </c>
      <c r="O17" s="127">
        <f t="shared" si="7"/>
        <v>0</v>
      </c>
      <c r="P17" s="127">
        <f t="shared" si="7"/>
        <v>0</v>
      </c>
      <c r="Q17" s="127">
        <f t="shared" si="7"/>
        <v>0.35000000000000003</v>
      </c>
      <c r="R17" s="127">
        <f t="shared" si="7"/>
        <v>0.35000000000000003</v>
      </c>
      <c r="S17" s="127">
        <f t="shared" si="7"/>
        <v>0.35000000000000003</v>
      </c>
      <c r="T17" s="127">
        <f t="shared" si="7"/>
        <v>0.35</v>
      </c>
      <c r="U17" s="127">
        <f t="shared" si="7"/>
        <v>0.35000000000000003</v>
      </c>
      <c r="V17" s="127">
        <f t="shared" si="7"/>
        <v>0</v>
      </c>
      <c r="W17" s="127">
        <f t="shared" si="7"/>
        <v>0</v>
      </c>
      <c r="X17" s="127">
        <f t="shared" si="7"/>
        <v>0.35000000000000003</v>
      </c>
      <c r="Y17" s="127">
        <f t="shared" si="7"/>
        <v>0.35000000000000003</v>
      </c>
      <c r="Z17" s="127">
        <f t="shared" si="7"/>
        <v>0.35000000000000003</v>
      </c>
      <c r="AA17" s="127">
        <f t="shared" si="7"/>
        <v>0.35</v>
      </c>
      <c r="AB17" s="127">
        <f t="shared" si="7"/>
        <v>0.35000000000000003</v>
      </c>
      <c r="AC17" s="127">
        <f t="shared" si="7"/>
        <v>0</v>
      </c>
      <c r="AD17" s="127">
        <f t="shared" si="7"/>
        <v>0</v>
      </c>
      <c r="AE17" s="127">
        <f t="shared" si="7"/>
        <v>0.35000000000000003</v>
      </c>
      <c r="AF17" s="127">
        <f t="shared" si="7"/>
        <v>0.35000000000000003</v>
      </c>
      <c r="AG17" s="127">
        <f t="shared" si="7"/>
        <v>0.35000000000000003</v>
      </c>
      <c r="AH17" s="127">
        <f t="shared" si="7"/>
        <v>0.35</v>
      </c>
      <c r="AI17" s="127">
        <f t="shared" si="7"/>
        <v>0.35000000000000003</v>
      </c>
      <c r="AJ17" s="128">
        <f t="shared" si="3"/>
        <v>8.0499999999999972</v>
      </c>
      <c r="AK17" s="131"/>
      <c r="AL17" s="121"/>
      <c r="AM17" s="121"/>
      <c r="AN17" s="122"/>
    </row>
    <row r="18" spans="1:46" s="123" customFormat="1" x14ac:dyDescent="0.2">
      <c r="B18" s="117"/>
      <c r="C18" s="132" t="str">
        <f>Januar!C18</f>
        <v>Mehr-/Minderleistung</v>
      </c>
      <c r="D18" s="133"/>
      <c r="E18" s="134">
        <f>ROUND(E14-E17,8)</f>
        <v>-0.35</v>
      </c>
      <c r="F18" s="135">
        <f>ROUND(F14-F17,8)</f>
        <v>-0.35</v>
      </c>
      <c r="G18" s="135">
        <f t="shared" ref="G18:AI18" si="8">ROUND(G14-G17,8)</f>
        <v>-0.35</v>
      </c>
      <c r="H18" s="135">
        <f t="shared" si="8"/>
        <v>0</v>
      </c>
      <c r="I18" s="135">
        <f t="shared" si="8"/>
        <v>0</v>
      </c>
      <c r="J18" s="135">
        <f t="shared" si="8"/>
        <v>-0.35</v>
      </c>
      <c r="K18" s="135">
        <f t="shared" si="8"/>
        <v>-0.35</v>
      </c>
      <c r="L18" s="135">
        <f t="shared" si="8"/>
        <v>-0.35</v>
      </c>
      <c r="M18" s="135">
        <f t="shared" si="8"/>
        <v>-0.35</v>
      </c>
      <c r="N18" s="135">
        <f t="shared" si="8"/>
        <v>-0.35</v>
      </c>
      <c r="O18" s="135">
        <f t="shared" si="8"/>
        <v>0</v>
      </c>
      <c r="P18" s="135">
        <f t="shared" si="8"/>
        <v>0</v>
      </c>
      <c r="Q18" s="135">
        <f t="shared" si="8"/>
        <v>-0.35</v>
      </c>
      <c r="R18" s="135">
        <f t="shared" si="8"/>
        <v>-0.35</v>
      </c>
      <c r="S18" s="135">
        <f t="shared" si="8"/>
        <v>-0.35</v>
      </c>
      <c r="T18" s="135">
        <f t="shared" si="8"/>
        <v>-0.35</v>
      </c>
      <c r="U18" s="135">
        <f t="shared" si="8"/>
        <v>-0.35</v>
      </c>
      <c r="V18" s="135">
        <f t="shared" si="8"/>
        <v>0</v>
      </c>
      <c r="W18" s="135">
        <f t="shared" si="8"/>
        <v>0</v>
      </c>
      <c r="X18" s="135">
        <f t="shared" si="8"/>
        <v>-0.35</v>
      </c>
      <c r="Y18" s="135">
        <f t="shared" si="8"/>
        <v>-0.35</v>
      </c>
      <c r="Z18" s="135">
        <f t="shared" si="8"/>
        <v>-0.35</v>
      </c>
      <c r="AA18" s="135">
        <f t="shared" si="8"/>
        <v>-0.35</v>
      </c>
      <c r="AB18" s="135">
        <f t="shared" si="8"/>
        <v>-0.35</v>
      </c>
      <c r="AC18" s="135">
        <f t="shared" si="8"/>
        <v>0</v>
      </c>
      <c r="AD18" s="135">
        <f t="shared" si="8"/>
        <v>0</v>
      </c>
      <c r="AE18" s="135">
        <f t="shared" si="8"/>
        <v>-0.35</v>
      </c>
      <c r="AF18" s="135">
        <f t="shared" si="8"/>
        <v>-0.35</v>
      </c>
      <c r="AG18" s="135">
        <f t="shared" si="8"/>
        <v>-0.35</v>
      </c>
      <c r="AH18" s="135">
        <f t="shared" si="8"/>
        <v>-0.35</v>
      </c>
      <c r="AI18" s="135">
        <f t="shared" si="8"/>
        <v>-0.35</v>
      </c>
      <c r="AJ18" s="136">
        <f t="shared" si="3"/>
        <v>-8.0499999999999972</v>
      </c>
      <c r="AK18" s="137" t="s">
        <v>418</v>
      </c>
      <c r="AL18" s="121" t="s">
        <v>419</v>
      </c>
      <c r="AM18" s="121"/>
      <c r="AN18" s="122"/>
      <c r="AO18" s="122"/>
    </row>
    <row r="19" spans="1:46" s="138" customFormat="1" ht="24" x14ac:dyDescent="0.2">
      <c r="A19" s="781"/>
      <c r="B19" s="139" t="s">
        <v>420</v>
      </c>
      <c r="C19" s="1049" t="str">
        <f>Januar!C19</f>
        <v>Arbeitszeit-Saldo</v>
      </c>
      <c r="D19" s="903">
        <f ca="1">Juni!AJ19</f>
        <v>0</v>
      </c>
      <c r="E19" s="1050">
        <f ca="1">IF(E4&lt;&gt;"",IF(DATE($D$2,MONTH($C$2),E$4)&lt;=Eingabeblatt!$I$8,IF(OR(AND(E$86="JA",E14&gt;E16),AND(E86="JA",Eingabeblatt!$I$10="NEIN")),D19,D19+E18),IF(D19=0,0,IF(OR(COUNT(E7:E12,E22:E38)&gt;0,AND(COUNT(E7:E12,E22:E38)=0,E16=0)),IF(OR(AND(E$86="JA",E14&gt;E16),AND(E86="JA",Eingabeblatt!$I$10="NEIN")),D19,D19+E18),0))),D19)</f>
        <v>0</v>
      </c>
      <c r="F19" s="1051">
        <f ca="1">IF(F4&lt;&gt;"",IF(DATE($D$2,MONTH($C$2),F$4)&lt;=Eingabeblatt!$I$8,IF(OR(AND(F$86="JA",F14&gt;F16),AND(F86="JA",Eingabeblatt!$I$10="NEIN")),E19,E19+F18),IF(E19=0,0,IF(OR(COUNT(F7:F12,F22:F38)&gt;0,AND(COUNT(F7:F12,F22:F38)=0,F16=0)),IF(OR(AND(F$86="JA",F14&gt;F16),AND(F86="JA",Eingabeblatt!$I$10="NEIN")),E19,E19+F18),0))),E19)</f>
        <v>0</v>
      </c>
      <c r="G19" s="1051">
        <f ca="1">IF(G4&lt;&gt;"",IF(DATE($D$2,MONTH($C$2),G$4)&lt;=Eingabeblatt!$I$8,IF(OR(AND(G$86="JA",G14&gt;G16),AND(G86="JA",Eingabeblatt!$I$10="NEIN")),F19,F19+G18),IF(F19=0,0,IF(OR(COUNT(G7:G12,G22:G38)&gt;0,AND(COUNT(G7:G12,G22:G38)=0,G16=0)),IF(OR(AND(G$86="JA",G14&gt;G16),AND(G86="JA",Eingabeblatt!$I$10="NEIN")),F19,F19+G18),0))),F19)</f>
        <v>0</v>
      </c>
      <c r="H19" s="1051">
        <f ca="1">IF(H4&lt;&gt;"",IF(DATE($D$2,MONTH($C$2),H$4)&lt;=Eingabeblatt!$I$8,IF(OR(AND(H$86="JA",H14&gt;H16),AND(H86="JA",Eingabeblatt!$I$10="NEIN")),G19,G19+H18),IF(G19=0,0,IF(OR(COUNT(H7:H12,H22:H38)&gt;0,AND(COUNT(H7:H12,H22:H38)=0,H16=0)),IF(OR(AND(H$86="JA",H14&gt;H16),AND(H86="JA",Eingabeblatt!$I$10="NEIN")),G19,G19+H18),0))),G19)</f>
        <v>0</v>
      </c>
      <c r="I19" s="1051">
        <f ca="1">IF(I4&lt;&gt;"",IF(DATE($D$2,MONTH($C$2),I$4)&lt;=Eingabeblatt!$I$8,IF(OR(AND(I$86="JA",I14&gt;I16),AND(I86="JA",Eingabeblatt!$I$10="NEIN")),H19,H19+I18),IF(H19=0,0,IF(OR(COUNT(I7:I12,I22:I38)&gt;0,AND(COUNT(I7:I12,I22:I38)=0,I16=0)),IF(OR(AND(I$86="JA",I14&gt;I16),AND(I86="JA",Eingabeblatt!$I$10="NEIN")),H19,H19+I18),0))),H19)</f>
        <v>0</v>
      </c>
      <c r="J19" s="1051">
        <f ca="1">IF(J4&lt;&gt;"",IF(DATE($D$2,MONTH($C$2),J$4)&lt;=Eingabeblatt!$I$8,IF(OR(AND(J$86="JA",J14&gt;J16),AND(J86="JA",Eingabeblatt!$I$10="NEIN")),I19,I19+J18),IF(I19=0,0,IF(OR(COUNT(J7:J12,J22:J38)&gt;0,AND(COUNT(J7:J12,J22:J38)=0,J16=0)),IF(OR(AND(J$86="JA",J14&gt;J16),AND(J86="JA",Eingabeblatt!$I$10="NEIN")),I19,I19+J18),0))),I19)</f>
        <v>0</v>
      </c>
      <c r="K19" s="1051">
        <f ca="1">IF(K4&lt;&gt;"",IF(DATE($D$2,MONTH($C$2),K$4)&lt;=Eingabeblatt!$I$8,IF(OR(AND(K$86="JA",K14&gt;K16),AND(K86="JA",Eingabeblatt!$I$10="NEIN")),J19,J19+K18),IF(J19=0,0,IF(OR(COUNT(K7:K12,K22:K38)&gt;0,AND(COUNT(K7:K12,K22:K38)=0,K16=0)),IF(OR(AND(K$86="JA",K14&gt;K16),AND(K86="JA",Eingabeblatt!$I$10="NEIN")),J19,J19+K18),0))),J19)</f>
        <v>0</v>
      </c>
      <c r="L19" s="1051">
        <f ca="1">IF(L4&lt;&gt;"",IF(DATE($D$2,MONTH($C$2),L$4)&lt;=Eingabeblatt!$I$8,IF(OR(AND(L$86="JA",L14&gt;L16),AND(L86="JA",Eingabeblatt!$I$10="NEIN")),K19,K19+L18),IF(K19=0,0,IF(OR(COUNT(L7:L12,L22:L38)&gt;0,AND(COUNT(L7:L12,L22:L38)=0,L16=0)),IF(OR(AND(L$86="JA",L14&gt;L16),AND(L86="JA",Eingabeblatt!$I$10="NEIN")),K19,K19+L18),0))),K19)</f>
        <v>0</v>
      </c>
      <c r="M19" s="1051">
        <f ca="1">IF(M4&lt;&gt;"",IF(DATE($D$2,MONTH($C$2),M$4)&lt;=Eingabeblatt!$I$8,IF(OR(AND(M$86="JA",M14&gt;M16),AND(M86="JA",Eingabeblatt!$I$10="NEIN")),L19,L19+M18),IF(L19=0,0,IF(OR(COUNT(M7:M12,M22:M38)&gt;0,AND(COUNT(M7:M12,M22:M38)=0,M16=0)),IF(OR(AND(M$86="JA",M14&gt;M16),AND(M86="JA",Eingabeblatt!$I$10="NEIN")),L19,L19+M18),0))),L19)</f>
        <v>0</v>
      </c>
      <c r="N19" s="1051">
        <f ca="1">IF(N4&lt;&gt;"",IF(DATE($D$2,MONTH($C$2),N$4)&lt;=Eingabeblatt!$I$8,IF(OR(AND(N$86="JA",N14&gt;N16),AND(N86="JA",Eingabeblatt!$I$10="NEIN")),M19,M19+N18),IF(M19=0,0,IF(OR(COUNT(N7:N12,N22:N38)&gt;0,AND(COUNT(N7:N12,N22:N38)=0,N16=0)),IF(OR(AND(N$86="JA",N14&gt;N16),AND(N86="JA",Eingabeblatt!$I$10="NEIN")),M19,M19+N18),0))),M19)</f>
        <v>0</v>
      </c>
      <c r="O19" s="1051">
        <f ca="1">IF(O4&lt;&gt;"",IF(DATE($D$2,MONTH($C$2),O$4)&lt;=Eingabeblatt!$I$8,IF(OR(AND(O$86="JA",O14&gt;O16),AND(O86="JA",Eingabeblatt!$I$10="NEIN")),N19,N19+O18),IF(N19=0,0,IF(OR(COUNT(O7:O12,O22:O38)&gt;0,AND(COUNT(O7:O12,O22:O38)=0,O16=0)),IF(OR(AND(O$86="JA",O14&gt;O16),AND(O86="JA",Eingabeblatt!$I$10="NEIN")),N19,N19+O18),0))),N19)</f>
        <v>0</v>
      </c>
      <c r="P19" s="1051">
        <f ca="1">IF(P4&lt;&gt;"",IF(DATE($D$2,MONTH($C$2),P$4)&lt;=Eingabeblatt!$I$8,IF(OR(AND(P$86="JA",P14&gt;P16),AND(P86="JA",Eingabeblatt!$I$10="NEIN")),O19,O19+P18),IF(O19=0,0,IF(OR(COUNT(P7:P12,P22:P38)&gt;0,AND(COUNT(P7:P12,P22:P38)=0,P16=0)),IF(OR(AND(P$86="JA",P14&gt;P16),AND(P86="JA",Eingabeblatt!$I$10="NEIN")),O19,O19+P18),0))),O19)</f>
        <v>0</v>
      </c>
      <c r="Q19" s="1051">
        <f ca="1">IF(Q4&lt;&gt;"",IF(DATE($D$2,MONTH($C$2),Q$4)&lt;=Eingabeblatt!$I$8,IF(OR(AND(Q$86="JA",Q14&gt;Q16),AND(Q86="JA",Eingabeblatt!$I$10="NEIN")),P19,P19+Q18),IF(P19=0,0,IF(OR(COUNT(Q7:Q12,Q22:Q38)&gt;0,AND(COUNT(Q7:Q12,Q22:Q38)=0,Q16=0)),IF(OR(AND(Q$86="JA",Q14&gt;Q16),AND(Q86="JA",Eingabeblatt!$I$10="NEIN")),P19,P19+Q18),0))),P19)</f>
        <v>0</v>
      </c>
      <c r="R19" s="1051">
        <f ca="1">IF(R4&lt;&gt;"",IF(DATE($D$2,MONTH($C$2),R$4)&lt;=Eingabeblatt!$I$8,IF(OR(AND(R$86="JA",R14&gt;R16),AND(R86="JA",Eingabeblatt!$I$10="NEIN")),Q19,Q19+R18),IF(Q19=0,0,IF(OR(COUNT(R7:R12,R22:R38)&gt;0,AND(COUNT(R7:R12,R22:R38)=0,R16=0)),IF(OR(AND(R$86="JA",R14&gt;R16),AND(R86="JA",Eingabeblatt!$I$10="NEIN")),Q19,Q19+R18),0))),Q19)</f>
        <v>0</v>
      </c>
      <c r="S19" s="1051">
        <f ca="1">IF(S4&lt;&gt;"",IF(DATE($D$2,MONTH($C$2),S$4)&lt;=Eingabeblatt!$I$8,IF(OR(AND(S$86="JA",S14&gt;S16),AND(S86="JA",Eingabeblatt!$I$10="NEIN")),R19,R19+S18),IF(R19=0,0,IF(OR(COUNT(S7:S12,S22:S38)&gt;0,AND(COUNT(S7:S12,S22:S38)=0,S16=0)),IF(OR(AND(S$86="JA",S14&gt;S16),AND(S86="JA",Eingabeblatt!$I$10="NEIN")),R19,R19+S18),0))),R19)</f>
        <v>0</v>
      </c>
      <c r="T19" s="1051">
        <f ca="1">IF(T4&lt;&gt;"",IF(DATE($D$2,MONTH($C$2),T$4)&lt;=Eingabeblatt!$I$8,IF(OR(AND(T$86="JA",T14&gt;T16),AND(T86="JA",Eingabeblatt!$I$10="NEIN")),S19,S19+T18),IF(S19=0,0,IF(OR(COUNT(T7:T12,T22:T38)&gt;0,AND(COUNT(T7:T12,T22:T38)=0,T16=0)),IF(OR(AND(T$86="JA",T14&gt;T16),AND(T86="JA",Eingabeblatt!$I$10="NEIN")),S19,S19+T18),0))),S19)</f>
        <v>0</v>
      </c>
      <c r="U19" s="1051">
        <f ca="1">IF(U4&lt;&gt;"",IF(DATE($D$2,MONTH($C$2),U$4)&lt;=Eingabeblatt!$I$8,IF(OR(AND(U$86="JA",U14&gt;U16),AND(U86="JA",Eingabeblatt!$I$10="NEIN")),T19,T19+U18),IF(T19=0,0,IF(OR(COUNT(U7:U12,U22:U38)&gt;0,AND(COUNT(U7:U12,U22:U38)=0,U16=0)),IF(OR(AND(U$86="JA",U14&gt;U16),AND(U86="JA",Eingabeblatt!$I$10="NEIN")),T19,T19+U18),0))),T19)</f>
        <v>0</v>
      </c>
      <c r="V19" s="1051">
        <f ca="1">IF(V4&lt;&gt;"",IF(DATE($D$2,MONTH($C$2),V$4)&lt;=Eingabeblatt!$I$8,IF(OR(AND(V$86="JA",V14&gt;V16),AND(V86="JA",Eingabeblatt!$I$10="NEIN")),U19,U19+V18),IF(U19=0,0,IF(OR(COUNT(V7:V12,V22:V38)&gt;0,AND(COUNT(V7:V12,V22:V38)=0,V16=0)),IF(OR(AND(V$86="JA",V14&gt;V16),AND(V86="JA",Eingabeblatt!$I$10="NEIN")),U19,U19+V18),0))),U19)</f>
        <v>0</v>
      </c>
      <c r="W19" s="1051">
        <f ca="1">IF(W4&lt;&gt;"",IF(DATE($D$2,MONTH($C$2),W$4)&lt;=Eingabeblatt!$I$8,IF(OR(AND(W$86="JA",W14&gt;W16),AND(W86="JA",Eingabeblatt!$I$10="NEIN")),V19,V19+W18),IF(V19=0,0,IF(OR(COUNT(W7:W12,W22:W38)&gt;0,AND(COUNT(W7:W12,W22:W38)=0,W16=0)),IF(OR(AND(W$86="JA",W14&gt;W16),AND(W86="JA",Eingabeblatt!$I$10="NEIN")),V19,V19+W18),0))),V19)</f>
        <v>0</v>
      </c>
      <c r="X19" s="1051">
        <f ca="1">IF(X4&lt;&gt;"",IF(DATE($D$2,MONTH($C$2),X$4)&lt;=Eingabeblatt!$I$8,IF(OR(AND(X$86="JA",X14&gt;X16),AND(X86="JA",Eingabeblatt!$I$10="NEIN")),W19,W19+X18),IF(W19=0,0,IF(OR(COUNT(X7:X12,X22:X38)&gt;0,AND(COUNT(X7:X12,X22:X38)=0,X16=0)),IF(OR(AND(X$86="JA",X14&gt;X16),AND(X86="JA",Eingabeblatt!$I$10="NEIN")),W19,W19+X18),0))),W19)</f>
        <v>0</v>
      </c>
      <c r="Y19" s="1051">
        <f ca="1">IF(Y4&lt;&gt;"",IF(DATE($D$2,MONTH($C$2),Y$4)&lt;=Eingabeblatt!$I$8,IF(OR(AND(Y$86="JA",Y14&gt;Y16),AND(Y86="JA",Eingabeblatt!$I$10="NEIN")),X19,X19+Y18),IF(X19=0,0,IF(OR(COUNT(Y7:Y12,Y22:Y38)&gt;0,AND(COUNT(Y7:Y12,Y22:Y38)=0,Y16=0)),IF(OR(AND(Y$86="JA",Y14&gt;Y16),AND(Y86="JA",Eingabeblatt!$I$10="NEIN")),X19,X19+Y18),0))),X19)</f>
        <v>0</v>
      </c>
      <c r="Z19" s="1051">
        <f ca="1">IF(Z4&lt;&gt;"",IF(DATE($D$2,MONTH($C$2),Z$4)&lt;=Eingabeblatt!$I$8,IF(OR(AND(Z$86="JA",Z14&gt;Z16),AND(Z86="JA",Eingabeblatt!$I$10="NEIN")),Y19,Y19+Z18),IF(Y19=0,0,IF(OR(COUNT(Z7:Z12,Z22:Z38)&gt;0,AND(COUNT(Z7:Z12,Z22:Z38)=0,Z16=0)),IF(OR(AND(Z$86="JA",Z14&gt;Z16),AND(Z86="JA",Eingabeblatt!$I$10="NEIN")),Y19,Y19+Z18),0))),Y19)</f>
        <v>0</v>
      </c>
      <c r="AA19" s="1051">
        <f ca="1">IF(AA4&lt;&gt;"",IF(DATE($D$2,MONTH($C$2),AA$4)&lt;=Eingabeblatt!$I$8,IF(OR(AND(AA$86="JA",AA14&gt;AA16),AND(AA86="JA",Eingabeblatt!$I$10="NEIN")),Z19,Z19+AA18),IF(Z19=0,0,IF(OR(COUNT(AA7:AA12,AA22:AA38)&gt;0,AND(COUNT(AA7:AA12,AA22:AA38)=0,AA16=0)),IF(OR(AND(AA$86="JA",AA14&gt;AA16),AND(AA86="JA",Eingabeblatt!$I$10="NEIN")),Z19,Z19+AA18),0))),Z19)</f>
        <v>0</v>
      </c>
      <c r="AB19" s="1051">
        <f ca="1">IF(AB4&lt;&gt;"",IF(DATE($D$2,MONTH($C$2),AB$4)&lt;=Eingabeblatt!$I$8,IF(OR(AND(AB$86="JA",AB14&gt;AB16),AND(AB86="JA",Eingabeblatt!$I$10="NEIN")),AA19,AA19+AB18),IF(AA19=0,0,IF(OR(COUNT(AB7:AB12,AB22:AB38)&gt;0,AND(COUNT(AB7:AB12,AB22:AB38)=0,AB16=0)),IF(OR(AND(AB$86="JA",AB14&gt;AB16),AND(AB86="JA",Eingabeblatt!$I$10="NEIN")),AA19,AA19+AB18),0))),AA19)</f>
        <v>0</v>
      </c>
      <c r="AC19" s="1051">
        <f ca="1">IF(AC4&lt;&gt;"",IF(DATE($D$2,MONTH($C$2),AC$4)&lt;=Eingabeblatt!$I$8,IF(OR(AND(AC$86="JA",AC14&gt;AC16),AND(AC86="JA",Eingabeblatt!$I$10="NEIN")),AB19,AB19+AC18),IF(AB19=0,0,IF(OR(COUNT(AC7:AC12,AC22:AC38)&gt;0,AND(COUNT(AC7:AC12,AC22:AC38)=0,AC16=0)),IF(OR(AND(AC$86="JA",AC14&gt;AC16),AND(AC86="JA",Eingabeblatt!$I$10="NEIN")),AB19,AB19+AC18),0))),AB19)</f>
        <v>0</v>
      </c>
      <c r="AD19" s="1051">
        <f ca="1">IF(AD4&lt;&gt;"",IF(DATE($D$2,MONTH($C$2),AD$4)&lt;=Eingabeblatt!$I$8,IF(OR(AND(AD$86="JA",AD14&gt;AD16),AND(AD86="JA",Eingabeblatt!$I$10="NEIN")),AC19,AC19+AD18),IF(AC19=0,0,IF(OR(COUNT(AD7:AD12,AD22:AD38)&gt;0,AND(COUNT(AD7:AD12,AD22:AD38)=0,AD16=0)),IF(OR(AND(AD$86="JA",AD14&gt;AD16),AND(AD86="JA",Eingabeblatt!$I$10="NEIN")),AC19,AC19+AD18),0))),AC19)</f>
        <v>0</v>
      </c>
      <c r="AE19" s="1051">
        <f ca="1">IF(AE4&lt;&gt;"",IF(DATE($D$2,MONTH($C$2),AE$4)&lt;=Eingabeblatt!$I$8,IF(OR(AND(AE$86="JA",AE14&gt;AE16),AND(AE86="JA",Eingabeblatt!$I$10="NEIN")),AD19,AD19+AE18),IF(AD19=0,0,IF(OR(COUNT(AE7:AE12,AE22:AE38)&gt;0,AND(COUNT(AE7:AE12,AE22:AE38)=0,AE16=0)),IF(OR(AND(AE$86="JA",AE14&gt;AE16),AND(AE86="JA",Eingabeblatt!$I$10="NEIN")),AD19,AD19+AE18),0))),AD19)</f>
        <v>0</v>
      </c>
      <c r="AF19" s="1051">
        <f ca="1">IF(AF4&lt;&gt;"",IF(DATE($D$2,MONTH($C$2),AF$4)&lt;=Eingabeblatt!$I$8,IF(OR(AND(AF$86="JA",AF14&gt;AF16),AND(AF86="JA",Eingabeblatt!$I$10="NEIN")),AE19,AE19+AF18),IF(AE19=0,0,IF(OR(COUNT(AF7:AF12,AF22:AF38)&gt;0,AND(COUNT(AF7:AF12,AF22:AF38)=0,AF16=0)),IF(OR(AND(AF$86="JA",AF14&gt;AF16),AND(AF86="JA",Eingabeblatt!$I$10="NEIN")),AE19,AE19+AF18),0))),AE19)</f>
        <v>0</v>
      </c>
      <c r="AG19" s="1051">
        <f ca="1">IF(AG4&lt;&gt;"",IF(DATE($D$2,MONTH($C$2),AG$4)&lt;=Eingabeblatt!$I$8,IF(OR(AND(AG$86="JA",AG14&gt;AG16),AND(AG86="JA",Eingabeblatt!$I$10="NEIN")),AF19,AF19+AG18),IF(AF19=0,0,IF(OR(COUNT(AG7:AG12,AG22:AG38)&gt;0,AND(COUNT(AG7:AG12,AG22:AG38)=0,AG16=0)),IF(OR(AND(AG$86="JA",AG14&gt;AG16),AND(AG86="JA",Eingabeblatt!$I$10="NEIN")),AF19,AF19+AG18),0))),AF19)</f>
        <v>0</v>
      </c>
      <c r="AH19" s="1051">
        <f ca="1">IF(AH4&lt;&gt;"",IF(DATE($D$2,MONTH($C$2),AH$4)&lt;=Eingabeblatt!$I$8,IF(OR(AND(AH$86="JA",AH14&gt;AH16),AND(AH86="JA",Eingabeblatt!$I$10="NEIN")),AG19,AG19+AH18),IF(AG19=0,0,IF(OR(COUNT(AH7:AH12,AH22:AH38)&gt;0,AND(COUNT(AH7:AH12,AH22:AH38)=0,AH16=0)),IF(OR(AND(AH$86="JA",AH14&gt;AH16),AND(AH86="JA",Eingabeblatt!$I$10="NEIN")),AG19,AG19+AH18),0))),AG19)</f>
        <v>0</v>
      </c>
      <c r="AI19" s="1052">
        <f ca="1">IF(AI4&lt;&gt;"",IF(DATE($D$2,MONTH($C$2),AI$4)&lt;=Eingabeblatt!$I$8,IF(OR(AND(AI$86="JA",AI14&gt;AI16),AND(AI86="JA",Eingabeblatt!$I$10="NEIN")),AH19,AH19+AI18),IF(AH19=0,0,IF(OR(COUNT(AI7:AI12,AI22:AI38)&gt;0,AND(COUNT(AI7:AI12,AI22:AI38)=0,AI16=0)),IF(OR(AND(AI$86="JA",AI14&gt;AI16),AND(AI86="JA",Eingabeblatt!$I$10="NEIN")),AH19,AH19+AI18),0))),AH19)</f>
        <v>0</v>
      </c>
      <c r="AJ19" s="1053">
        <f ca="1">AI19</f>
        <v>0</v>
      </c>
      <c r="AK19" s="904">
        <f ca="1">AI19</f>
        <v>0</v>
      </c>
      <c r="AL19" s="905" t="s">
        <v>422</v>
      </c>
      <c r="AM19" s="905"/>
      <c r="AN19" s="906"/>
      <c r="AO19" s="781"/>
      <c r="AP19" s="781"/>
      <c r="AQ19" s="781"/>
      <c r="AR19" s="781"/>
      <c r="AS19" s="907"/>
      <c r="AT19" s="781"/>
    </row>
    <row r="20" spans="1:46" ht="22.5" hidden="1" customHeight="1" outlineLevel="1" x14ac:dyDescent="0.2">
      <c r="B20" s="143"/>
      <c r="C20" s="953" t="str">
        <f>Januar!C20</f>
        <v>Feiertagssaldo</v>
      </c>
      <c r="D20" s="954">
        <f>Juni!AJ20</f>
        <v>0</v>
      </c>
      <c r="E20" s="955">
        <f t="shared" ref="E20:AI20" si="9">IF(VLOOKUP(DATE($D$2,MONTH($C$2),E$4),Ferienanspruch,3,TRUE)=100,D20-E21,IF(VLOOKUP(DATE($D$2,MONTH($C$2),E$4),Feiertagsanspruch,6,TRUE)*24&lt;Normtagesarbeitszeit*24,IF((E17-E15)&lt;0,D20-E21+(E15-E17),IF(E17&gt;0,D20-E21,D20-E21+E15)),IF((E17-E15)&lt;0,D20-E21+(E15-E17),IF(E17&gt;0,D20-E21,D20-E21+E15))))</f>
        <v>0</v>
      </c>
      <c r="F20" s="956">
        <f t="shared" si="9"/>
        <v>0</v>
      </c>
      <c r="G20" s="956">
        <f t="shared" si="9"/>
        <v>0</v>
      </c>
      <c r="H20" s="956">
        <f t="shared" si="9"/>
        <v>0</v>
      </c>
      <c r="I20" s="956">
        <f t="shared" si="9"/>
        <v>0</v>
      </c>
      <c r="J20" s="956">
        <f t="shared" si="9"/>
        <v>0</v>
      </c>
      <c r="K20" s="956">
        <f t="shared" si="9"/>
        <v>0</v>
      </c>
      <c r="L20" s="956">
        <f t="shared" si="9"/>
        <v>0</v>
      </c>
      <c r="M20" s="956">
        <f t="shared" si="9"/>
        <v>0</v>
      </c>
      <c r="N20" s="956">
        <f t="shared" si="9"/>
        <v>0</v>
      </c>
      <c r="O20" s="956">
        <f t="shared" si="9"/>
        <v>0</v>
      </c>
      <c r="P20" s="956">
        <f t="shared" si="9"/>
        <v>0</v>
      </c>
      <c r="Q20" s="956">
        <f t="shared" si="9"/>
        <v>0</v>
      </c>
      <c r="R20" s="956">
        <f t="shared" si="9"/>
        <v>0</v>
      </c>
      <c r="S20" s="956">
        <f t="shared" si="9"/>
        <v>0</v>
      </c>
      <c r="T20" s="956">
        <f t="shared" si="9"/>
        <v>0</v>
      </c>
      <c r="U20" s="956">
        <f t="shared" si="9"/>
        <v>0</v>
      </c>
      <c r="V20" s="956">
        <f t="shared" si="9"/>
        <v>0</v>
      </c>
      <c r="W20" s="956">
        <f t="shared" si="9"/>
        <v>0</v>
      </c>
      <c r="X20" s="956">
        <f t="shared" si="9"/>
        <v>0</v>
      </c>
      <c r="Y20" s="956">
        <f t="shared" si="9"/>
        <v>0</v>
      </c>
      <c r="Z20" s="956">
        <f t="shared" si="9"/>
        <v>0</v>
      </c>
      <c r="AA20" s="956">
        <f t="shared" si="9"/>
        <v>0</v>
      </c>
      <c r="AB20" s="956">
        <f t="shared" si="9"/>
        <v>0</v>
      </c>
      <c r="AC20" s="956">
        <f t="shared" si="9"/>
        <v>0</v>
      </c>
      <c r="AD20" s="956">
        <f t="shared" si="9"/>
        <v>0</v>
      </c>
      <c r="AE20" s="956">
        <f t="shared" si="9"/>
        <v>0</v>
      </c>
      <c r="AF20" s="956">
        <f t="shared" si="9"/>
        <v>0</v>
      </c>
      <c r="AG20" s="956">
        <f t="shared" si="9"/>
        <v>0</v>
      </c>
      <c r="AH20" s="956">
        <f t="shared" si="9"/>
        <v>0</v>
      </c>
      <c r="AI20" s="957">
        <f t="shared" si="9"/>
        <v>0</v>
      </c>
      <c r="AJ20" s="142">
        <f>AI20</f>
        <v>0</v>
      </c>
      <c r="AK20" s="912">
        <f>AJ20</f>
        <v>0</v>
      </c>
      <c r="AL20" s="141" t="s">
        <v>423</v>
      </c>
      <c r="AM20" s="91"/>
      <c r="AN20" s="113"/>
      <c r="AO20" s="113"/>
      <c r="AP20" s="113"/>
      <c r="AQ20" s="89"/>
      <c r="AR20" s="89"/>
    </row>
    <row r="21" spans="1:46" s="88" customFormat="1" hidden="1" outlineLevel="1" x14ac:dyDescent="0.2">
      <c r="A21" s="88" t="s">
        <v>424</v>
      </c>
      <c r="B21" s="143"/>
      <c r="C21" s="1054" t="str">
        <f>Januar!C21</f>
        <v>Komp.Feiertg.f.Teilzeiter</v>
      </c>
      <c r="D21" s="1055"/>
      <c r="E21" s="1056"/>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8"/>
      <c r="AJ21" s="1059">
        <f>SUM(D21:AI21)</f>
        <v>0</v>
      </c>
      <c r="AK21" s="1060">
        <f>AJ21</f>
        <v>0</v>
      </c>
      <c r="AL21" s="144" t="s">
        <v>359</v>
      </c>
      <c r="AM21" s="145"/>
      <c r="AN21" s="146"/>
      <c r="AO21" s="146"/>
      <c r="AP21" s="146"/>
      <c r="AQ21" s="147"/>
      <c r="AR21" s="147"/>
      <c r="AT21" s="8"/>
    </row>
    <row r="22" spans="1:46" s="88" customFormat="1" collapsed="1" x14ac:dyDescent="0.2">
      <c r="A22" s="148"/>
      <c r="B22" s="143"/>
      <c r="C22" s="149" t="str">
        <f>Januar!C22</f>
        <v>Ferienbezug</v>
      </c>
      <c r="D22" s="150">
        <f>Juni!AK22</f>
        <v>8.0500000000000007</v>
      </c>
      <c r="E22" s="913"/>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322"/>
      <c r="AJ22" s="151">
        <f>SUM(E22:AI22)</f>
        <v>0</v>
      </c>
      <c r="AK22" s="152">
        <f>ROUND(D22-AJ22,8)</f>
        <v>8.0500000000000007</v>
      </c>
      <c r="AL22" s="144" t="s">
        <v>425</v>
      </c>
      <c r="AM22" s="145" t="s">
        <v>426</v>
      </c>
      <c r="AN22" s="146"/>
      <c r="AO22" s="146"/>
      <c r="AP22" s="146"/>
      <c r="AQ22" s="147"/>
      <c r="AR22" s="147"/>
    </row>
    <row r="23" spans="1:46" s="88" customFormat="1" ht="22.5" hidden="1" customHeight="1" outlineLevel="1" x14ac:dyDescent="0.2">
      <c r="A23" s="148"/>
      <c r="B23" s="153">
        <f>Eingabeblatt!E29</f>
        <v>0</v>
      </c>
      <c r="C23" s="154" t="str">
        <f>Januar!C23</f>
        <v>Kompens. Arbeitszeit</v>
      </c>
      <c r="D23" s="155">
        <f>Juni!AK23</f>
        <v>0</v>
      </c>
      <c r="E23" s="913"/>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322"/>
      <c r="AJ23" s="151">
        <f>SUM(E23:AI23)</f>
        <v>0</v>
      </c>
      <c r="AK23" s="152">
        <f>IF(B23="",0,ROUND(B23+D23-AJ23,8))</f>
        <v>0</v>
      </c>
      <c r="AL23" s="144" t="s">
        <v>425</v>
      </c>
      <c r="AM23" s="145"/>
      <c r="AN23" s="146"/>
      <c r="AO23" s="692"/>
      <c r="AP23" s="146"/>
      <c r="AQ23" s="147"/>
      <c r="AR23" s="147"/>
    </row>
    <row r="24" spans="1:46" s="88" customFormat="1" ht="22.5" hidden="1" customHeight="1" outlineLevel="1" x14ac:dyDescent="0.2">
      <c r="A24" s="148" t="s">
        <v>424</v>
      </c>
      <c r="B24" s="156"/>
      <c r="C24" s="154" t="str">
        <f>Januar!C24</f>
        <v>Kompens. Überzeit</v>
      </c>
      <c r="D24" s="150">
        <f>Juni!AK24</f>
        <v>0</v>
      </c>
      <c r="E24" s="913"/>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322"/>
      <c r="AJ24" s="151">
        <f>SUM(E24:AI24)</f>
        <v>0</v>
      </c>
      <c r="AK24" s="152">
        <f>ROUND(D24+AJ85-AJ24,8)</f>
        <v>0</v>
      </c>
      <c r="AL24" s="157" t="s">
        <v>428</v>
      </c>
      <c r="AM24" s="145" t="s">
        <v>429</v>
      </c>
      <c r="AN24" s="146"/>
      <c r="AO24" s="692"/>
      <c r="AP24" s="146"/>
      <c r="AQ24" s="147"/>
      <c r="AR24" s="147"/>
    </row>
    <row r="25" spans="1:46" s="88" customFormat="1" collapsed="1" x14ac:dyDescent="0.2">
      <c r="A25" s="148"/>
      <c r="B25" s="156"/>
      <c r="C25" s="154" t="str">
        <f>Januar!C25</f>
        <v>Krankheit</v>
      </c>
      <c r="D25" s="158">
        <f>Juni!AK25</f>
        <v>0</v>
      </c>
      <c r="E25" s="913"/>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322"/>
      <c r="AJ25" s="151">
        <f>SUM(E25:AI25)</f>
        <v>0</v>
      </c>
      <c r="AK25" s="152">
        <f t="shared" ref="AK25:AK30" si="10">ROUND(B25+D25+AJ25,8)</f>
        <v>0</v>
      </c>
      <c r="AL25" s="144" t="s">
        <v>359</v>
      </c>
      <c r="AM25" s="145"/>
      <c r="AN25" s="146"/>
      <c r="AO25" s="146"/>
      <c r="AP25" s="147"/>
      <c r="AQ25" s="147"/>
      <c r="AR25" s="147"/>
    </row>
    <row r="26" spans="1:46" s="88" customFormat="1" x14ac:dyDescent="0.2">
      <c r="A26" s="148"/>
      <c r="B26" s="156"/>
      <c r="C26" s="154" t="str">
        <f>Januar!C26</f>
        <v>Unfall</v>
      </c>
      <c r="D26" s="158">
        <f>Juni!AK26</f>
        <v>0</v>
      </c>
      <c r="E26" s="913"/>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322"/>
      <c r="AJ26" s="151">
        <f>SUM(E26:AI26)</f>
        <v>0</v>
      </c>
      <c r="AK26" s="152">
        <f t="shared" si="10"/>
        <v>0</v>
      </c>
      <c r="AL26" s="144" t="s">
        <v>359</v>
      </c>
      <c r="AM26" s="145" t="s">
        <v>430</v>
      </c>
      <c r="AN26" s="146"/>
      <c r="AO26" s="146"/>
      <c r="AP26" s="146"/>
      <c r="AQ26" s="147"/>
      <c r="AR26" s="147"/>
    </row>
    <row r="27" spans="1:46" s="88" customFormat="1" x14ac:dyDescent="0.2">
      <c r="A27" s="148"/>
      <c r="B27" s="156"/>
      <c r="C27" s="154" t="str">
        <f>Januar!C27</f>
        <v>Militär / Zivildienst</v>
      </c>
      <c r="D27" s="158">
        <f>Juni!AK27</f>
        <v>0</v>
      </c>
      <c r="E27" s="913"/>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322"/>
      <c r="AJ27" s="151">
        <f t="shared" ref="AJ27:AJ35" si="11">SUM(E27:AI27)</f>
        <v>0</v>
      </c>
      <c r="AK27" s="152">
        <f t="shared" si="10"/>
        <v>0</v>
      </c>
      <c r="AL27" s="144" t="s">
        <v>359</v>
      </c>
      <c r="AM27" s="145"/>
      <c r="AN27" s="146"/>
      <c r="AO27" s="146"/>
      <c r="AP27" s="147"/>
      <c r="AQ27" s="147"/>
      <c r="AR27" s="147"/>
    </row>
    <row r="28" spans="1:46" s="88" customFormat="1" ht="22.5" hidden="1" customHeight="1" outlineLevel="2" x14ac:dyDescent="0.2">
      <c r="A28" s="148" t="s">
        <v>424</v>
      </c>
      <c r="B28" s="156"/>
      <c r="C28" s="154" t="str">
        <f>Januar!C28</f>
        <v>Nichtberufsunfall</v>
      </c>
      <c r="D28" s="158">
        <f>Juni!AK28</f>
        <v>0</v>
      </c>
      <c r="E28" s="913"/>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322"/>
      <c r="AJ28" s="151">
        <f t="shared" si="11"/>
        <v>0</v>
      </c>
      <c r="AK28" s="152">
        <f t="shared" si="10"/>
        <v>0</v>
      </c>
      <c r="AL28" s="157" t="s">
        <v>359</v>
      </c>
      <c r="AM28" s="145"/>
      <c r="AN28" s="146"/>
      <c r="AO28" s="692"/>
      <c r="AP28" s="146"/>
      <c r="AQ28" s="147"/>
      <c r="AR28" s="147"/>
    </row>
    <row r="29" spans="1:46" s="88" customFormat="1" collapsed="1" x14ac:dyDescent="0.2">
      <c r="A29" s="148"/>
      <c r="B29" s="156"/>
      <c r="C29" s="154" t="str">
        <f>Januar!C29</f>
        <v>Weiterbildung</v>
      </c>
      <c r="D29" s="158">
        <f>Juni!AK29</f>
        <v>0</v>
      </c>
      <c r="E29" s="913"/>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322"/>
      <c r="AJ29" s="151">
        <f t="shared" si="11"/>
        <v>0</v>
      </c>
      <c r="AK29" s="152">
        <f t="shared" si="10"/>
        <v>0</v>
      </c>
      <c r="AL29" s="144" t="s">
        <v>359</v>
      </c>
      <c r="AM29" s="145"/>
      <c r="AN29" s="146"/>
      <c r="AO29" s="146"/>
      <c r="AP29" s="147"/>
      <c r="AQ29" s="147"/>
      <c r="AR29" s="147"/>
    </row>
    <row r="30" spans="1:46" s="88" customFormat="1" x14ac:dyDescent="0.2">
      <c r="A30" s="148"/>
      <c r="B30" s="156"/>
      <c r="C30" s="154" t="str">
        <f>Januar!C30</f>
        <v>Unbezahlter Urlaub</v>
      </c>
      <c r="D30" s="158">
        <f>Juni!AK30</f>
        <v>0</v>
      </c>
      <c r="E30" s="913"/>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322"/>
      <c r="AJ30" s="151">
        <f t="shared" si="11"/>
        <v>0</v>
      </c>
      <c r="AK30" s="152">
        <f t="shared" si="10"/>
        <v>0</v>
      </c>
      <c r="AL30" s="144" t="s">
        <v>359</v>
      </c>
      <c r="AM30" s="145"/>
      <c r="AN30" s="146"/>
      <c r="AO30" s="146"/>
      <c r="AP30" s="147"/>
      <c r="AQ30" s="147"/>
      <c r="AR30" s="147"/>
    </row>
    <row r="31" spans="1:46" s="88" customFormat="1" x14ac:dyDescent="0.2">
      <c r="A31" s="148"/>
      <c r="B31" s="159">
        <f>IF(Eingabeblatt!C183="OK",Eingabeblatt!A183,"  Fehler")</f>
        <v>0</v>
      </c>
      <c r="C31" s="154" t="str">
        <f>Januar!C31</f>
        <v>Bezahlter Urlaub</v>
      </c>
      <c r="D31" s="158">
        <f>Juni!AK31</f>
        <v>0</v>
      </c>
      <c r="E31" s="913"/>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322"/>
      <c r="AJ31" s="151">
        <f t="shared" si="11"/>
        <v>0</v>
      </c>
      <c r="AK31" s="160">
        <f>ROUND(B31+D31-AJ31,8)</f>
        <v>0</v>
      </c>
      <c r="AL31" s="144" t="s">
        <v>425</v>
      </c>
      <c r="AM31" s="145"/>
      <c r="AN31" s="146"/>
      <c r="AO31" s="146"/>
      <c r="AP31" s="147"/>
      <c r="AQ31" s="147"/>
      <c r="AR31" s="147"/>
    </row>
    <row r="32" spans="1:46" s="88" customFormat="1" x14ac:dyDescent="0.2">
      <c r="A32" s="148"/>
      <c r="B32" s="159">
        <f>IF(Eingabeblatt!C184="OK",Eingabeblatt!A184,"  Fehler")</f>
        <v>0</v>
      </c>
      <c r="C32" s="161" t="str">
        <f>Januar!C32</f>
        <v>Kaderarbeitszeit</v>
      </c>
      <c r="D32" s="162">
        <f>Juni!AK32</f>
        <v>0</v>
      </c>
      <c r="E32" s="914"/>
      <c r="F32" s="915"/>
      <c r="G32" s="915"/>
      <c r="H32" s="915"/>
      <c r="I32" s="915"/>
      <c r="J32" s="915"/>
      <c r="K32" s="915"/>
      <c r="L32" s="915"/>
      <c r="M32" s="915"/>
      <c r="N32" s="915"/>
      <c r="O32" s="915"/>
      <c r="P32" s="915"/>
      <c r="Q32" s="915"/>
      <c r="R32" s="915"/>
      <c r="S32" s="915"/>
      <c r="T32" s="915"/>
      <c r="U32" s="915"/>
      <c r="V32" s="915"/>
      <c r="W32" s="915"/>
      <c r="X32" s="915"/>
      <c r="Y32" s="915"/>
      <c r="Z32" s="915"/>
      <c r="AA32" s="915"/>
      <c r="AB32" s="915"/>
      <c r="AC32" s="915"/>
      <c r="AD32" s="915"/>
      <c r="AE32" s="915"/>
      <c r="AF32" s="915"/>
      <c r="AG32" s="915"/>
      <c r="AH32" s="915"/>
      <c r="AI32" s="916"/>
      <c r="AJ32" s="163">
        <f t="shared" si="11"/>
        <v>0</v>
      </c>
      <c r="AK32" s="164">
        <f>ROUND(B32+D32-AJ32,8)</f>
        <v>0</v>
      </c>
      <c r="AL32" s="157" t="s">
        <v>425</v>
      </c>
      <c r="AM32" s="145"/>
      <c r="AN32" s="146"/>
      <c r="AO32" s="146"/>
      <c r="AP32" s="146"/>
      <c r="AQ32" s="147"/>
      <c r="AR32" s="147"/>
    </row>
    <row r="33" spans="1:46" ht="22.5" hidden="1" customHeight="1" outlineLevel="1" x14ac:dyDescent="0.2">
      <c r="A33" s="165" t="s">
        <v>424</v>
      </c>
      <c r="B33" s="156">
        <f>IF(Eingabeblatt!C185="OK",Eingabeblatt!A185,"  Fehler")</f>
        <v>0</v>
      </c>
      <c r="C33" s="166" t="str">
        <f>Januar!C33</f>
        <v>Nebenbeschäftigung</v>
      </c>
      <c r="D33" s="162"/>
      <c r="E33" s="167"/>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9"/>
      <c r="AJ33" s="140">
        <f t="shared" si="11"/>
        <v>0</v>
      </c>
      <c r="AK33" s="917">
        <f>ROUND(B33+D33-AJ33,8)</f>
        <v>0</v>
      </c>
      <c r="AL33" s="157" t="s">
        <v>425</v>
      </c>
      <c r="AM33" s="91"/>
      <c r="AN33" s="113"/>
      <c r="AO33" s="692"/>
      <c r="AP33" s="113"/>
      <c r="AQ33" s="89"/>
      <c r="AR33" s="89"/>
      <c r="AT33" s="88"/>
    </row>
    <row r="34" spans="1:46" ht="22.5" hidden="1" customHeight="1" outlineLevel="1" x14ac:dyDescent="0.2">
      <c r="A34" s="165"/>
      <c r="B34" s="156">
        <f>IF(Eingabeblatt!C182="OK",Eingabeblatt!A182,"  Fehler")</f>
        <v>0</v>
      </c>
      <c r="C34" s="170" t="str">
        <f>Januar!C34</f>
        <v>D A G</v>
      </c>
      <c r="D34" s="162">
        <f>Juni!AK34</f>
        <v>0</v>
      </c>
      <c r="E34" s="171"/>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3"/>
      <c r="AJ34" s="174">
        <f>SUM(E34:AI34)</f>
        <v>0</v>
      </c>
      <c r="AK34" s="152">
        <f>ROUND(B34+D34-AJ34,8)</f>
        <v>0</v>
      </c>
      <c r="AL34" s="157" t="s">
        <v>425</v>
      </c>
      <c r="AM34" s="91"/>
      <c r="AN34" s="113"/>
      <c r="AO34" s="692"/>
      <c r="AP34" s="113"/>
      <c r="AQ34" s="89"/>
      <c r="AR34" s="89"/>
    </row>
    <row r="35" spans="1:46" ht="22.5" hidden="1" customHeight="1" outlineLevel="1" x14ac:dyDescent="0.2">
      <c r="A35" s="165" t="s">
        <v>424</v>
      </c>
      <c r="B35" s="156"/>
      <c r="C35" s="170" t="str">
        <f>Januar!C35</f>
        <v>Diverses</v>
      </c>
      <c r="D35" s="162"/>
      <c r="E35" s="171"/>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c r="AJ35" s="174">
        <f t="shared" si="11"/>
        <v>0</v>
      </c>
      <c r="AK35" s="152">
        <f>ROUND(B35+D35+AJ35,8)</f>
        <v>0</v>
      </c>
      <c r="AL35" s="157" t="s">
        <v>359</v>
      </c>
      <c r="AM35" s="91"/>
      <c r="AN35" s="113"/>
      <c r="AO35" s="692"/>
      <c r="AP35" s="113"/>
      <c r="AQ35" s="89"/>
      <c r="AR35" s="89"/>
    </row>
    <row r="36" spans="1:46" ht="22.5" hidden="1" customHeight="1" outlineLevel="1" x14ac:dyDescent="0.2">
      <c r="A36" s="165" t="s">
        <v>424</v>
      </c>
      <c r="B36" s="156"/>
      <c r="C36" s="170" t="str">
        <f>Januar!C36</f>
        <v>freie Zeile 1</v>
      </c>
      <c r="D36" s="162"/>
      <c r="E36" s="171"/>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c r="AJ36" s="174">
        <f>SUM(E36:AI36)</f>
        <v>0</v>
      </c>
      <c r="AK36" s="152">
        <f>ROUND(B36+D36+AJ36,8)</f>
        <v>0</v>
      </c>
      <c r="AL36" s="157" t="s">
        <v>359</v>
      </c>
      <c r="AM36" s="91"/>
      <c r="AN36" s="113"/>
      <c r="AO36" s="692"/>
      <c r="AP36" s="113"/>
      <c r="AQ36" s="89"/>
      <c r="AR36" s="89"/>
    </row>
    <row r="37" spans="1:46" ht="22.5" hidden="1" customHeight="1" outlineLevel="1" x14ac:dyDescent="0.2">
      <c r="A37" s="165" t="s">
        <v>424</v>
      </c>
      <c r="B37" s="156"/>
      <c r="C37" s="170" t="str">
        <f>Januar!C37</f>
        <v>freie Zeile 2</v>
      </c>
      <c r="D37" s="162"/>
      <c r="E37" s="171"/>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3"/>
      <c r="AJ37" s="174">
        <f>SUM(E37:AI37)</f>
        <v>0</v>
      </c>
      <c r="AK37" s="152">
        <f>ROUND(B37+D37+AJ37,8)</f>
        <v>0</v>
      </c>
      <c r="AL37" s="157" t="s">
        <v>359</v>
      </c>
      <c r="AM37" s="91"/>
      <c r="AN37" s="113"/>
      <c r="AO37" s="692"/>
      <c r="AP37" s="113"/>
      <c r="AQ37" s="89"/>
      <c r="AR37" s="89"/>
    </row>
    <row r="38" spans="1:46" ht="22.5" hidden="1" customHeight="1" outlineLevel="1" x14ac:dyDescent="0.2">
      <c r="A38" s="165" t="s">
        <v>424</v>
      </c>
      <c r="B38" s="156"/>
      <c r="C38" s="175" t="str">
        <f>Januar!C38</f>
        <v>freie Zeile 3</v>
      </c>
      <c r="D38" s="162"/>
      <c r="E38" s="176"/>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8"/>
      <c r="AJ38" s="142">
        <f>SUM(E38:AI38)</f>
        <v>0</v>
      </c>
      <c r="AK38" s="912">
        <f>ROUND(B38+D38+AJ38,8)</f>
        <v>0</v>
      </c>
      <c r="AL38" s="157" t="s">
        <v>359</v>
      </c>
      <c r="AM38" s="91"/>
      <c r="AN38" s="113"/>
      <c r="AO38" s="692"/>
      <c r="AP38" s="113"/>
      <c r="AQ38" s="89"/>
      <c r="AR38" s="89"/>
    </row>
    <row r="39" spans="1:46" s="34" customFormat="1" hidden="1" outlineLevel="1" x14ac:dyDescent="0.2">
      <c r="A39" s="179"/>
      <c r="B39" s="180"/>
      <c r="C39" s="918" t="str">
        <f>Januar!C39</f>
        <v>Arbeitszeit aufgeteilt</v>
      </c>
      <c r="D39" s="1061"/>
      <c r="E39" s="1062">
        <f>ROUND(SUM(E41:E84),8)</f>
        <v>0</v>
      </c>
      <c r="F39" s="1063">
        <f>ROUND(SUM(F41:F84),8)</f>
        <v>0</v>
      </c>
      <c r="G39" s="1063">
        <f>ROUND(SUM(G41:G84),8)</f>
        <v>0</v>
      </c>
      <c r="H39" s="1063">
        <f t="shared" ref="H39:AI39" si="12">ROUND(SUM(H41:H84),8)</f>
        <v>0</v>
      </c>
      <c r="I39" s="1063">
        <f t="shared" si="12"/>
        <v>0</v>
      </c>
      <c r="J39" s="1063">
        <f t="shared" si="12"/>
        <v>0</v>
      </c>
      <c r="K39" s="1063">
        <f t="shared" si="12"/>
        <v>0</v>
      </c>
      <c r="L39" s="1063">
        <f t="shared" si="12"/>
        <v>0</v>
      </c>
      <c r="M39" s="1063">
        <f t="shared" si="12"/>
        <v>0</v>
      </c>
      <c r="N39" s="1063">
        <f t="shared" si="12"/>
        <v>0</v>
      </c>
      <c r="O39" s="1063">
        <f t="shared" si="12"/>
        <v>0</v>
      </c>
      <c r="P39" s="1063">
        <f t="shared" si="12"/>
        <v>0</v>
      </c>
      <c r="Q39" s="1063">
        <f t="shared" si="12"/>
        <v>0</v>
      </c>
      <c r="R39" s="1063">
        <f t="shared" si="12"/>
        <v>0</v>
      </c>
      <c r="S39" s="1063">
        <f t="shared" si="12"/>
        <v>0</v>
      </c>
      <c r="T39" s="1063">
        <f t="shared" si="12"/>
        <v>0</v>
      </c>
      <c r="U39" s="1063">
        <f t="shared" si="12"/>
        <v>0</v>
      </c>
      <c r="V39" s="1063">
        <f t="shared" si="12"/>
        <v>0</v>
      </c>
      <c r="W39" s="1063">
        <f t="shared" si="12"/>
        <v>0</v>
      </c>
      <c r="X39" s="1063">
        <f t="shared" si="12"/>
        <v>0</v>
      </c>
      <c r="Y39" s="1063">
        <f t="shared" si="12"/>
        <v>0</v>
      </c>
      <c r="Z39" s="1063">
        <f t="shared" si="12"/>
        <v>0</v>
      </c>
      <c r="AA39" s="1063">
        <f t="shared" si="12"/>
        <v>0</v>
      </c>
      <c r="AB39" s="1063">
        <f t="shared" si="12"/>
        <v>0</v>
      </c>
      <c r="AC39" s="1063">
        <f t="shared" si="12"/>
        <v>0</v>
      </c>
      <c r="AD39" s="1063">
        <f t="shared" si="12"/>
        <v>0</v>
      </c>
      <c r="AE39" s="1063">
        <f t="shared" si="12"/>
        <v>0</v>
      </c>
      <c r="AF39" s="1063">
        <f t="shared" si="12"/>
        <v>0</v>
      </c>
      <c r="AG39" s="1063">
        <f t="shared" si="12"/>
        <v>0</v>
      </c>
      <c r="AH39" s="1063">
        <f t="shared" si="12"/>
        <v>0</v>
      </c>
      <c r="AI39" s="1064">
        <f t="shared" si="12"/>
        <v>0</v>
      </c>
      <c r="AJ39" s="969"/>
      <c r="AK39" s="1065"/>
      <c r="AL39" s="13"/>
      <c r="AM39" s="181"/>
      <c r="AN39" s="182"/>
      <c r="AT39" s="8"/>
    </row>
    <row r="40" spans="1:46" s="34" customFormat="1" ht="42" customHeight="1" collapsed="1" x14ac:dyDescent="0.2">
      <c r="A40" s="179"/>
      <c r="B40" s="180"/>
      <c r="C40" s="919" t="str">
        <f>Januar!C40</f>
        <v>in folgenden Bereichen nicht oder zuviel aufgeteilte Arbeitszeit</v>
      </c>
      <c r="D40" s="920"/>
      <c r="E40" s="921">
        <f t="shared" ref="E40:AI40" si="13">ROUND(IF(E13=E39,0,IF(E13&lt;&gt;0,E13-E39,0)),8)</f>
        <v>0</v>
      </c>
      <c r="F40" s="922">
        <f t="shared" si="13"/>
        <v>0</v>
      </c>
      <c r="G40" s="922">
        <f t="shared" si="13"/>
        <v>0</v>
      </c>
      <c r="H40" s="922">
        <f t="shared" si="13"/>
        <v>0</v>
      </c>
      <c r="I40" s="922">
        <f t="shared" si="13"/>
        <v>0</v>
      </c>
      <c r="J40" s="922">
        <f t="shared" si="13"/>
        <v>0</v>
      </c>
      <c r="K40" s="922">
        <f t="shared" si="13"/>
        <v>0</v>
      </c>
      <c r="L40" s="922">
        <f t="shared" si="13"/>
        <v>0</v>
      </c>
      <c r="M40" s="922">
        <f t="shared" si="13"/>
        <v>0</v>
      </c>
      <c r="N40" s="922">
        <f t="shared" si="13"/>
        <v>0</v>
      </c>
      <c r="O40" s="922">
        <f t="shared" si="13"/>
        <v>0</v>
      </c>
      <c r="P40" s="922">
        <f t="shared" si="13"/>
        <v>0</v>
      </c>
      <c r="Q40" s="922">
        <f t="shared" si="13"/>
        <v>0</v>
      </c>
      <c r="R40" s="922">
        <f t="shared" si="13"/>
        <v>0</v>
      </c>
      <c r="S40" s="922">
        <f t="shared" si="13"/>
        <v>0</v>
      </c>
      <c r="T40" s="922">
        <f t="shared" si="13"/>
        <v>0</v>
      </c>
      <c r="U40" s="922">
        <f t="shared" si="13"/>
        <v>0</v>
      </c>
      <c r="V40" s="922">
        <f t="shared" si="13"/>
        <v>0</v>
      </c>
      <c r="W40" s="922">
        <f t="shared" si="13"/>
        <v>0</v>
      </c>
      <c r="X40" s="922">
        <f t="shared" si="13"/>
        <v>0</v>
      </c>
      <c r="Y40" s="922">
        <f t="shared" si="13"/>
        <v>0</v>
      </c>
      <c r="Z40" s="922">
        <f t="shared" si="13"/>
        <v>0</v>
      </c>
      <c r="AA40" s="922">
        <f t="shared" si="13"/>
        <v>0</v>
      </c>
      <c r="AB40" s="922">
        <f t="shared" si="13"/>
        <v>0</v>
      </c>
      <c r="AC40" s="922">
        <f t="shared" si="13"/>
        <v>0</v>
      </c>
      <c r="AD40" s="922">
        <f t="shared" si="13"/>
        <v>0</v>
      </c>
      <c r="AE40" s="922">
        <f t="shared" si="13"/>
        <v>0</v>
      </c>
      <c r="AF40" s="922">
        <f t="shared" si="13"/>
        <v>0</v>
      </c>
      <c r="AG40" s="922">
        <f t="shared" si="13"/>
        <v>0</v>
      </c>
      <c r="AH40" s="922">
        <f t="shared" si="13"/>
        <v>0</v>
      </c>
      <c r="AI40" s="923">
        <f t="shared" si="13"/>
        <v>0</v>
      </c>
      <c r="AJ40" s="183"/>
      <c r="AK40" s="924"/>
      <c r="AL40" s="13"/>
      <c r="AM40" s="181"/>
      <c r="AN40" s="182"/>
    </row>
    <row r="41" spans="1:46" s="37" customFormat="1" x14ac:dyDescent="0.2">
      <c r="A41" s="148"/>
      <c r="B41" s="1066" t="str">
        <f>ctArbeitsgebiete!A9</f>
        <v>A01</v>
      </c>
      <c r="C41" s="1067" t="str">
        <f>IF(ctArbeitsgebiete!B9&lt;&gt;"",ctArbeitsgebiete!B9,"")</f>
        <v/>
      </c>
      <c r="D41" s="1068"/>
      <c r="E41" s="1069"/>
      <c r="F41" s="1070"/>
      <c r="G41" s="1070"/>
      <c r="H41" s="1070"/>
      <c r="I41" s="1070"/>
      <c r="J41" s="1070"/>
      <c r="K41" s="1070"/>
      <c r="L41" s="1070"/>
      <c r="M41" s="1070"/>
      <c r="N41" s="1070"/>
      <c r="O41" s="1070"/>
      <c r="P41" s="1070"/>
      <c r="Q41" s="1070"/>
      <c r="R41" s="1070"/>
      <c r="S41" s="1070"/>
      <c r="T41" s="1070"/>
      <c r="U41" s="1070"/>
      <c r="V41" s="1070"/>
      <c r="W41" s="1070"/>
      <c r="X41" s="1070"/>
      <c r="Y41" s="1070"/>
      <c r="Z41" s="1070"/>
      <c r="AA41" s="1070"/>
      <c r="AB41" s="1070"/>
      <c r="AC41" s="1070"/>
      <c r="AD41" s="1070"/>
      <c r="AE41" s="1070"/>
      <c r="AF41" s="1070"/>
      <c r="AG41" s="1070"/>
      <c r="AH41" s="1070"/>
      <c r="AI41" s="1071"/>
      <c r="AJ41" s="1072">
        <f>SUM(E41:AI41)</f>
        <v>0</v>
      </c>
      <c r="AK41" s="152"/>
      <c r="AL41" s="146"/>
      <c r="AM41" s="147"/>
      <c r="AN41" s="147"/>
      <c r="AO41" s="147"/>
      <c r="AP41" s="147"/>
      <c r="AQ41" s="147"/>
      <c r="AR41" s="147"/>
      <c r="AS41" s="88"/>
      <c r="AT41" s="34"/>
    </row>
    <row r="42" spans="1:46" x14ac:dyDescent="0.2">
      <c r="A42" s="165"/>
      <c r="B42" s="185" t="str">
        <f>ctArbeitsgebiete!A10</f>
        <v>A02</v>
      </c>
      <c r="C42" s="186" t="str">
        <f>IF(ctArbeitsgebiete!B10&lt;&gt;"",ctArbeitsgebiete!B10,"")</f>
        <v/>
      </c>
      <c r="D42" s="187"/>
      <c r="E42" s="913"/>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322"/>
      <c r="AJ42" s="188">
        <f t="shared" ref="AJ42:AJ84" si="14">SUM(E42:AI42)</f>
        <v>0</v>
      </c>
      <c r="AK42" s="152"/>
      <c r="AL42" s="113"/>
      <c r="AM42" s="89"/>
      <c r="AN42" s="89"/>
      <c r="AO42" s="89"/>
      <c r="AP42" s="89"/>
      <c r="AQ42" s="89"/>
      <c r="AR42" s="89"/>
      <c r="AT42" s="88"/>
    </row>
    <row r="43" spans="1:46" x14ac:dyDescent="0.2">
      <c r="A43" s="165"/>
      <c r="B43" s="185" t="str">
        <f>ctArbeitsgebiete!A11</f>
        <v>A03</v>
      </c>
      <c r="C43" s="186" t="str">
        <f>IF(ctArbeitsgebiete!B11&lt;&gt;"",ctArbeitsgebiete!B11,"")</f>
        <v/>
      </c>
      <c r="D43" s="187"/>
      <c r="E43" s="913"/>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22"/>
      <c r="AJ43" s="188">
        <f t="shared" si="14"/>
        <v>0</v>
      </c>
      <c r="AK43" s="152"/>
      <c r="AL43" s="113"/>
      <c r="AM43" s="89"/>
      <c r="AN43" s="89"/>
      <c r="AO43" s="89"/>
      <c r="AP43" s="89"/>
      <c r="AQ43" s="89"/>
      <c r="AR43" s="89"/>
    </row>
    <row r="44" spans="1:46" x14ac:dyDescent="0.2">
      <c r="A44" s="165"/>
      <c r="B44" s="185" t="str">
        <f>ctArbeitsgebiete!A12</f>
        <v>A04</v>
      </c>
      <c r="C44" s="186" t="str">
        <f>IF(ctArbeitsgebiete!B12&lt;&gt;"",ctArbeitsgebiete!B12,"")</f>
        <v/>
      </c>
      <c r="D44" s="187"/>
      <c r="E44" s="913"/>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322"/>
      <c r="AJ44" s="188">
        <f t="shared" si="14"/>
        <v>0</v>
      </c>
      <c r="AK44" s="152"/>
      <c r="AL44" s="113"/>
      <c r="AM44" s="89"/>
      <c r="AN44" s="89"/>
      <c r="AO44" s="89"/>
      <c r="AP44" s="89"/>
      <c r="AQ44" s="89"/>
      <c r="AR44" s="89"/>
    </row>
    <row r="45" spans="1:46" x14ac:dyDescent="0.2">
      <c r="A45" s="165"/>
      <c r="B45" s="185" t="str">
        <f>ctArbeitsgebiete!A13</f>
        <v>A05</v>
      </c>
      <c r="C45" s="186" t="str">
        <f>IF(ctArbeitsgebiete!B13&lt;&gt;"",ctArbeitsgebiete!B13,"")</f>
        <v/>
      </c>
      <c r="D45" s="187"/>
      <c r="E45" s="913"/>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322"/>
      <c r="AJ45" s="188">
        <f t="shared" si="14"/>
        <v>0</v>
      </c>
      <c r="AK45" s="152"/>
      <c r="AL45" s="113"/>
      <c r="AM45" s="89"/>
      <c r="AN45" s="89"/>
      <c r="AO45" s="89"/>
      <c r="AP45" s="89"/>
      <c r="AQ45" s="89"/>
      <c r="AR45" s="89"/>
    </row>
    <row r="46" spans="1:46" x14ac:dyDescent="0.2">
      <c r="A46" s="165"/>
      <c r="B46" s="185" t="str">
        <f>ctArbeitsgebiete!A14</f>
        <v>A06</v>
      </c>
      <c r="C46" s="186" t="str">
        <f>IF(ctArbeitsgebiete!B14&lt;&gt;"",ctArbeitsgebiete!B14,"")</f>
        <v/>
      </c>
      <c r="D46" s="187"/>
      <c r="E46" s="913"/>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322"/>
      <c r="AJ46" s="188">
        <f t="shared" si="14"/>
        <v>0</v>
      </c>
      <c r="AK46" s="152"/>
      <c r="AL46" s="113"/>
      <c r="AM46" s="89"/>
      <c r="AN46" s="89"/>
      <c r="AO46" s="89"/>
      <c r="AP46" s="89"/>
      <c r="AQ46" s="89"/>
      <c r="AR46" s="89"/>
    </row>
    <row r="47" spans="1:46" x14ac:dyDescent="0.2">
      <c r="A47" s="165"/>
      <c r="B47" s="185" t="str">
        <f>ctArbeitsgebiete!A15</f>
        <v>A07</v>
      </c>
      <c r="C47" s="186" t="str">
        <f>IF(ctArbeitsgebiete!B15&lt;&gt;"",ctArbeitsgebiete!B15,"")</f>
        <v/>
      </c>
      <c r="D47" s="187"/>
      <c r="E47" s="913"/>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322"/>
      <c r="AJ47" s="188">
        <f t="shared" si="14"/>
        <v>0</v>
      </c>
      <c r="AK47" s="152"/>
      <c r="AL47" s="113"/>
      <c r="AM47" s="89"/>
      <c r="AN47" s="89"/>
      <c r="AO47" s="89"/>
      <c r="AP47" s="89"/>
      <c r="AQ47" s="89"/>
      <c r="AR47" s="89"/>
    </row>
    <row r="48" spans="1:46" x14ac:dyDescent="0.2">
      <c r="A48" s="165"/>
      <c r="B48" s="185" t="str">
        <f>ctArbeitsgebiete!A16</f>
        <v>A08</v>
      </c>
      <c r="C48" s="186" t="str">
        <f>IF(ctArbeitsgebiete!B16&lt;&gt;"",ctArbeitsgebiete!B16,"")</f>
        <v/>
      </c>
      <c r="D48" s="187"/>
      <c r="E48" s="913"/>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322"/>
      <c r="AJ48" s="188">
        <f t="shared" si="14"/>
        <v>0</v>
      </c>
      <c r="AK48" s="152"/>
      <c r="AL48" s="113"/>
      <c r="AM48" s="89"/>
      <c r="AN48" s="89"/>
      <c r="AO48" s="89"/>
      <c r="AP48" s="89"/>
      <c r="AQ48" s="89"/>
      <c r="AR48" s="89"/>
    </row>
    <row r="49" spans="1:44" x14ac:dyDescent="0.2">
      <c r="A49" s="165"/>
      <c r="B49" s="185" t="str">
        <f>ctArbeitsgebiete!A17</f>
        <v>A09</v>
      </c>
      <c r="C49" s="186" t="str">
        <f>IF(ctArbeitsgebiete!B17&lt;&gt;"",ctArbeitsgebiete!B17,"")</f>
        <v/>
      </c>
      <c r="D49" s="187"/>
      <c r="E49" s="913"/>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322"/>
      <c r="AJ49" s="188">
        <f t="shared" si="14"/>
        <v>0</v>
      </c>
      <c r="AK49" s="152"/>
      <c r="AL49" s="113"/>
      <c r="AM49" s="89"/>
      <c r="AN49" s="89"/>
      <c r="AO49" s="89"/>
      <c r="AP49" s="89"/>
      <c r="AQ49" s="89"/>
      <c r="AR49" s="89"/>
    </row>
    <row r="50" spans="1:44" x14ac:dyDescent="0.2">
      <c r="A50" s="165"/>
      <c r="B50" s="185" t="str">
        <f>ctArbeitsgebiete!A18</f>
        <v>A10</v>
      </c>
      <c r="C50" s="186" t="str">
        <f>IF(ctArbeitsgebiete!B18&lt;&gt;"",ctArbeitsgebiete!B18,"")</f>
        <v/>
      </c>
      <c r="D50" s="187"/>
      <c r="E50" s="913"/>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322"/>
      <c r="AJ50" s="188">
        <f t="shared" si="14"/>
        <v>0</v>
      </c>
      <c r="AK50" s="152"/>
      <c r="AL50" s="113"/>
      <c r="AM50" s="89"/>
      <c r="AN50" s="89"/>
      <c r="AO50" s="89"/>
      <c r="AP50" s="89"/>
      <c r="AQ50" s="89"/>
      <c r="AR50" s="89"/>
    </row>
    <row r="51" spans="1:44" x14ac:dyDescent="0.2">
      <c r="A51" s="165"/>
      <c r="B51" s="185" t="str">
        <f>ctArbeitsgebiete!A19</f>
        <v>A11</v>
      </c>
      <c r="C51" s="186" t="str">
        <f>IF(ctArbeitsgebiete!B19&lt;&gt;"",ctArbeitsgebiete!B19,"")</f>
        <v/>
      </c>
      <c r="D51" s="187"/>
      <c r="E51" s="913"/>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322"/>
      <c r="AJ51" s="188">
        <f t="shared" si="14"/>
        <v>0</v>
      </c>
      <c r="AK51" s="152"/>
      <c r="AL51" s="113"/>
      <c r="AM51" s="89"/>
      <c r="AN51" s="89"/>
      <c r="AO51" s="89"/>
      <c r="AP51" s="89"/>
      <c r="AQ51" s="89"/>
      <c r="AR51" s="89"/>
    </row>
    <row r="52" spans="1:44" x14ac:dyDescent="0.2">
      <c r="A52" s="165"/>
      <c r="B52" s="185" t="str">
        <f>ctArbeitsgebiete!A20</f>
        <v>A12</v>
      </c>
      <c r="C52" s="186" t="str">
        <f>IF(ctArbeitsgebiete!B20&lt;&gt;"",ctArbeitsgebiete!B20,"")</f>
        <v/>
      </c>
      <c r="D52" s="187"/>
      <c r="E52" s="913"/>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322"/>
      <c r="AJ52" s="188">
        <f t="shared" si="14"/>
        <v>0</v>
      </c>
      <c r="AK52" s="152"/>
      <c r="AL52" s="113"/>
      <c r="AM52" s="89"/>
      <c r="AN52" s="89"/>
      <c r="AO52" s="89"/>
      <c r="AP52" s="89"/>
      <c r="AQ52" s="89"/>
      <c r="AR52" s="89"/>
    </row>
    <row r="53" spans="1:44" x14ac:dyDescent="0.2">
      <c r="A53" s="165"/>
      <c r="B53" s="185" t="str">
        <f>ctArbeitsgebiete!A21</f>
        <v>A13</v>
      </c>
      <c r="C53" s="186" t="str">
        <f>IF(ctArbeitsgebiete!B21&lt;&gt;"",ctArbeitsgebiete!B21,"")</f>
        <v/>
      </c>
      <c r="D53" s="187"/>
      <c r="E53" s="913"/>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322"/>
      <c r="AJ53" s="188">
        <f t="shared" si="14"/>
        <v>0</v>
      </c>
      <c r="AK53" s="152"/>
      <c r="AL53" s="113"/>
      <c r="AM53" s="89"/>
      <c r="AN53" s="89"/>
      <c r="AO53" s="89"/>
      <c r="AP53" s="89"/>
      <c r="AQ53" s="89"/>
      <c r="AR53" s="89"/>
    </row>
    <row r="54" spans="1:44" x14ac:dyDescent="0.2">
      <c r="A54" s="165"/>
      <c r="B54" s="185" t="str">
        <f>ctArbeitsgebiete!A22</f>
        <v>A14</v>
      </c>
      <c r="C54" s="186" t="str">
        <f>IF(ctArbeitsgebiete!B22&lt;&gt;"",ctArbeitsgebiete!B22,"")</f>
        <v/>
      </c>
      <c r="D54" s="187"/>
      <c r="E54" s="913"/>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322"/>
      <c r="AJ54" s="188">
        <f t="shared" si="14"/>
        <v>0</v>
      </c>
      <c r="AK54" s="152"/>
      <c r="AL54" s="113"/>
      <c r="AM54" s="89"/>
      <c r="AN54" s="89"/>
      <c r="AO54" s="89"/>
      <c r="AP54" s="89"/>
      <c r="AQ54" s="89"/>
      <c r="AR54" s="89"/>
    </row>
    <row r="55" spans="1:44" x14ac:dyDescent="0.2">
      <c r="A55" s="165"/>
      <c r="B55" s="185" t="str">
        <f>ctArbeitsgebiete!A23</f>
        <v>A15</v>
      </c>
      <c r="C55" s="186" t="str">
        <f>IF(ctArbeitsgebiete!B23&lt;&gt;"",ctArbeitsgebiete!B23,"")</f>
        <v/>
      </c>
      <c r="D55" s="187"/>
      <c r="E55" s="913"/>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322"/>
      <c r="AJ55" s="188">
        <f t="shared" si="14"/>
        <v>0</v>
      </c>
      <c r="AK55" s="152"/>
      <c r="AL55" s="113"/>
      <c r="AM55" s="89"/>
      <c r="AN55" s="89"/>
      <c r="AO55" s="89"/>
      <c r="AP55" s="89"/>
      <c r="AQ55" s="89"/>
      <c r="AR55" s="89"/>
    </row>
    <row r="56" spans="1:44" x14ac:dyDescent="0.2">
      <c r="A56" s="165"/>
      <c r="B56" s="189" t="str">
        <f>ctArbeitsgebiete!A24</f>
        <v>A16</v>
      </c>
      <c r="C56" s="190" t="str">
        <f>IF(ctArbeitsgebiete!B24&lt;&gt;"",ctArbeitsgebiete!B24,"")</f>
        <v/>
      </c>
      <c r="D56" s="191"/>
      <c r="E56" s="914"/>
      <c r="F56" s="915"/>
      <c r="G56" s="915"/>
      <c r="H56" s="915"/>
      <c r="I56" s="915"/>
      <c r="J56" s="915"/>
      <c r="K56" s="915"/>
      <c r="L56" s="915"/>
      <c r="M56" s="915"/>
      <c r="N56" s="915"/>
      <c r="O56" s="915"/>
      <c r="P56" s="915"/>
      <c r="Q56" s="915"/>
      <c r="R56" s="915"/>
      <c r="S56" s="915"/>
      <c r="T56" s="915"/>
      <c r="U56" s="915"/>
      <c r="V56" s="915"/>
      <c r="W56" s="915"/>
      <c r="X56" s="915"/>
      <c r="Y56" s="915"/>
      <c r="Z56" s="915"/>
      <c r="AA56" s="915"/>
      <c r="AB56" s="915"/>
      <c r="AC56" s="915"/>
      <c r="AD56" s="915"/>
      <c r="AE56" s="915"/>
      <c r="AF56" s="915"/>
      <c r="AG56" s="915"/>
      <c r="AH56" s="915"/>
      <c r="AI56" s="916"/>
      <c r="AJ56" s="192">
        <f t="shared" si="14"/>
        <v>0</v>
      </c>
      <c r="AK56" s="912"/>
      <c r="AL56" s="113"/>
      <c r="AM56" s="89"/>
      <c r="AN56" s="89"/>
      <c r="AO56" s="89"/>
      <c r="AP56" s="89"/>
      <c r="AQ56" s="89"/>
      <c r="AR56" s="89"/>
    </row>
    <row r="57" spans="1:44" x14ac:dyDescent="0.2">
      <c r="A57" s="165"/>
      <c r="B57" s="1066" t="str">
        <f>ctArbeitsgebiete!D9</f>
        <v>B01</v>
      </c>
      <c r="C57" s="1073" t="str">
        <f>IF(ctArbeitsgebiete!E9&lt;&gt;"",ctArbeitsgebiete!E9,"")</f>
        <v/>
      </c>
      <c r="D57" s="1074" t="str">
        <f>IF(ctArbeitsgebiete!F9&lt;&gt;"",ctArbeitsgebiete!F9,"")</f>
        <v/>
      </c>
      <c r="E57" s="1069"/>
      <c r="F57" s="1070"/>
      <c r="G57" s="1070"/>
      <c r="H57" s="1070"/>
      <c r="I57" s="1070"/>
      <c r="J57" s="1070"/>
      <c r="K57" s="1070"/>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0"/>
      <c r="AH57" s="1070"/>
      <c r="AI57" s="1071"/>
      <c r="AJ57" s="1075">
        <f t="shared" si="14"/>
        <v>0</v>
      </c>
      <c r="AK57" s="1060"/>
      <c r="AL57" s="113"/>
      <c r="AM57" s="89"/>
      <c r="AN57" s="89"/>
      <c r="AO57" s="89"/>
      <c r="AP57" s="89"/>
      <c r="AQ57" s="89"/>
      <c r="AR57" s="89"/>
    </row>
    <row r="58" spans="1:44" x14ac:dyDescent="0.2">
      <c r="A58" s="165"/>
      <c r="B58" s="185" t="str">
        <f>ctArbeitsgebiete!D10</f>
        <v>B02</v>
      </c>
      <c r="C58" s="193" t="str">
        <f>IF(ctArbeitsgebiete!E10&lt;&gt;"",ctArbeitsgebiete!E10,"")</f>
        <v/>
      </c>
      <c r="D58" s="194"/>
      <c r="E58" s="913"/>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322"/>
      <c r="AJ58" s="195">
        <f t="shared" si="14"/>
        <v>0</v>
      </c>
      <c r="AK58" s="152"/>
      <c r="AL58" s="113"/>
      <c r="AM58" s="89"/>
      <c r="AN58" s="89"/>
      <c r="AO58" s="89"/>
      <c r="AP58" s="89"/>
      <c r="AQ58" s="89"/>
      <c r="AR58" s="89"/>
    </row>
    <row r="59" spans="1:44" x14ac:dyDescent="0.2">
      <c r="A59" s="165"/>
      <c r="B59" s="185" t="str">
        <f>ctArbeitsgebiete!D11</f>
        <v>B03</v>
      </c>
      <c r="C59" s="193" t="str">
        <f>IF(ctArbeitsgebiete!E11&lt;&gt;"",ctArbeitsgebiete!E11,"")</f>
        <v/>
      </c>
      <c r="D59" s="194"/>
      <c r="E59" s="913"/>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322"/>
      <c r="AJ59" s="195">
        <f t="shared" si="14"/>
        <v>0</v>
      </c>
      <c r="AK59" s="152"/>
      <c r="AL59" s="113"/>
      <c r="AM59" s="89"/>
      <c r="AN59" s="89"/>
      <c r="AO59" s="89"/>
      <c r="AP59" s="89"/>
      <c r="AQ59" s="89"/>
      <c r="AR59" s="89"/>
    </row>
    <row r="60" spans="1:44" x14ac:dyDescent="0.2">
      <c r="A60" s="165"/>
      <c r="B60" s="185" t="str">
        <f>ctArbeitsgebiete!D12</f>
        <v>B04</v>
      </c>
      <c r="C60" s="193" t="str">
        <f>IF(ctArbeitsgebiete!E12&lt;&gt;"",ctArbeitsgebiete!E12,"")</f>
        <v/>
      </c>
      <c r="D60" s="194"/>
      <c r="E60" s="913"/>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322"/>
      <c r="AJ60" s="195">
        <f t="shared" si="14"/>
        <v>0</v>
      </c>
      <c r="AK60" s="152"/>
      <c r="AL60" s="113"/>
      <c r="AM60" s="89"/>
      <c r="AN60" s="89"/>
      <c r="AO60" s="89"/>
      <c r="AP60" s="89"/>
      <c r="AQ60" s="89"/>
      <c r="AR60" s="89"/>
    </row>
    <row r="61" spans="1:44" x14ac:dyDescent="0.2">
      <c r="A61" s="165"/>
      <c r="B61" s="185" t="str">
        <f>ctArbeitsgebiete!D13</f>
        <v>B05</v>
      </c>
      <c r="C61" s="193" t="str">
        <f>IF(ctArbeitsgebiete!E13&lt;&gt;"",ctArbeitsgebiete!E13,"")</f>
        <v/>
      </c>
      <c r="D61" s="194"/>
      <c r="E61" s="913"/>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322"/>
      <c r="AJ61" s="195">
        <f t="shared" si="14"/>
        <v>0</v>
      </c>
      <c r="AK61" s="152"/>
      <c r="AL61" s="113"/>
      <c r="AM61" s="89"/>
      <c r="AN61" s="89"/>
      <c r="AO61" s="89"/>
      <c r="AP61" s="89"/>
      <c r="AQ61" s="89"/>
      <c r="AR61" s="89"/>
    </row>
    <row r="62" spans="1:44" x14ac:dyDescent="0.2">
      <c r="A62" s="165"/>
      <c r="B62" s="185" t="str">
        <f>ctArbeitsgebiete!D14</f>
        <v>B06</v>
      </c>
      <c r="C62" s="193" t="str">
        <f>IF(ctArbeitsgebiete!E14&lt;&gt;"",ctArbeitsgebiete!E14,"")</f>
        <v/>
      </c>
      <c r="D62" s="194"/>
      <c r="E62" s="913"/>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322"/>
      <c r="AJ62" s="195">
        <f t="shared" si="14"/>
        <v>0</v>
      </c>
      <c r="AK62" s="152"/>
      <c r="AL62" s="113"/>
      <c r="AM62" s="89"/>
      <c r="AN62" s="89"/>
      <c r="AO62" s="89"/>
      <c r="AP62" s="89"/>
      <c r="AQ62" s="89"/>
      <c r="AR62" s="89"/>
    </row>
    <row r="63" spans="1:44" x14ac:dyDescent="0.2">
      <c r="A63" s="165"/>
      <c r="B63" s="185" t="str">
        <f>ctArbeitsgebiete!D15</f>
        <v>B07</v>
      </c>
      <c r="C63" s="193" t="str">
        <f>IF(ctArbeitsgebiete!E15&lt;&gt;"",ctArbeitsgebiete!E15,"")</f>
        <v/>
      </c>
      <c r="D63" s="194"/>
      <c r="E63" s="913"/>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322"/>
      <c r="AJ63" s="195">
        <f t="shared" si="14"/>
        <v>0</v>
      </c>
      <c r="AK63" s="152"/>
      <c r="AL63" s="113"/>
      <c r="AM63" s="89"/>
      <c r="AN63" s="89"/>
      <c r="AO63" s="89"/>
      <c r="AP63" s="89"/>
      <c r="AQ63" s="89"/>
      <c r="AR63" s="89"/>
    </row>
    <row r="64" spans="1:44" x14ac:dyDescent="0.2">
      <c r="A64" s="165"/>
      <c r="B64" s="185" t="str">
        <f>ctArbeitsgebiete!D16</f>
        <v>B08</v>
      </c>
      <c r="C64" s="193" t="str">
        <f>IF(ctArbeitsgebiete!E16&lt;&gt;"",ctArbeitsgebiete!E16,"")</f>
        <v/>
      </c>
      <c r="D64" s="194"/>
      <c r="E64" s="913"/>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322"/>
      <c r="AJ64" s="195">
        <f t="shared" si="14"/>
        <v>0</v>
      </c>
      <c r="AK64" s="152"/>
      <c r="AL64" s="113"/>
      <c r="AM64" s="89"/>
      <c r="AN64" s="89"/>
      <c r="AO64" s="89"/>
      <c r="AP64" s="89"/>
      <c r="AQ64" s="89"/>
      <c r="AR64" s="89"/>
    </row>
    <row r="65" spans="1:44" x14ac:dyDescent="0.2">
      <c r="A65" s="165"/>
      <c r="B65" s="185" t="str">
        <f>ctArbeitsgebiete!D17</f>
        <v>B09</v>
      </c>
      <c r="C65" s="193" t="str">
        <f>IF(ctArbeitsgebiete!E17&lt;&gt;"",ctArbeitsgebiete!E17,"")</f>
        <v/>
      </c>
      <c r="D65" s="194"/>
      <c r="E65" s="913"/>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322"/>
      <c r="AJ65" s="195">
        <f t="shared" si="14"/>
        <v>0</v>
      </c>
      <c r="AK65" s="152"/>
      <c r="AL65" s="113"/>
      <c r="AM65" s="89"/>
      <c r="AN65" s="89"/>
      <c r="AO65" s="89"/>
      <c r="AP65" s="89"/>
      <c r="AQ65" s="89"/>
      <c r="AR65" s="89"/>
    </row>
    <row r="66" spans="1:44" x14ac:dyDescent="0.2">
      <c r="A66" s="165"/>
      <c r="B66" s="185" t="str">
        <f>ctArbeitsgebiete!D18</f>
        <v>B10</v>
      </c>
      <c r="C66" s="193" t="str">
        <f>IF(ctArbeitsgebiete!E18&lt;&gt;"",ctArbeitsgebiete!E18,"")</f>
        <v/>
      </c>
      <c r="D66" s="194"/>
      <c r="E66" s="913"/>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322"/>
      <c r="AJ66" s="195">
        <f t="shared" si="14"/>
        <v>0</v>
      </c>
      <c r="AK66" s="152"/>
      <c r="AL66" s="113"/>
      <c r="AM66" s="89"/>
      <c r="AN66" s="89"/>
      <c r="AO66" s="89"/>
      <c r="AP66" s="89"/>
      <c r="AQ66" s="89"/>
      <c r="AR66" s="89"/>
    </row>
    <row r="67" spans="1:44" x14ac:dyDescent="0.2">
      <c r="A67" s="165"/>
      <c r="B67" s="185" t="str">
        <f>ctArbeitsgebiete!D19</f>
        <v>B11</v>
      </c>
      <c r="C67" s="193" t="str">
        <f>IF(ctArbeitsgebiete!E19&lt;&gt;"",ctArbeitsgebiete!E19,"")</f>
        <v/>
      </c>
      <c r="D67" s="194"/>
      <c r="E67" s="913"/>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322"/>
      <c r="AJ67" s="195">
        <f t="shared" si="14"/>
        <v>0</v>
      </c>
      <c r="AK67" s="152"/>
      <c r="AL67" s="113"/>
      <c r="AM67" s="89"/>
      <c r="AN67" s="89"/>
      <c r="AO67" s="89"/>
      <c r="AP67" s="89"/>
      <c r="AQ67" s="89"/>
      <c r="AR67" s="89"/>
    </row>
    <row r="68" spans="1:44" x14ac:dyDescent="0.2">
      <c r="A68" s="165"/>
      <c r="B68" s="189" t="str">
        <f>ctArbeitsgebiete!D20</f>
        <v>B12</v>
      </c>
      <c r="C68" s="196" t="str">
        <f>IF(ctArbeitsgebiete!E20&lt;&gt;"",ctArbeitsgebiete!E20,"")</f>
        <v/>
      </c>
      <c r="D68" s="197"/>
      <c r="E68" s="914"/>
      <c r="F68" s="915"/>
      <c r="G68" s="915"/>
      <c r="H68" s="915"/>
      <c r="I68" s="915"/>
      <c r="J68" s="915"/>
      <c r="K68" s="915"/>
      <c r="L68" s="915"/>
      <c r="M68" s="915"/>
      <c r="N68" s="915"/>
      <c r="O68" s="915"/>
      <c r="P68" s="915"/>
      <c r="Q68" s="915"/>
      <c r="R68" s="915"/>
      <c r="S68" s="915"/>
      <c r="T68" s="915"/>
      <c r="U68" s="915"/>
      <c r="V68" s="915"/>
      <c r="W68" s="915"/>
      <c r="X68" s="915"/>
      <c r="Y68" s="915"/>
      <c r="Z68" s="915"/>
      <c r="AA68" s="915"/>
      <c r="AB68" s="915"/>
      <c r="AC68" s="915"/>
      <c r="AD68" s="915"/>
      <c r="AE68" s="915"/>
      <c r="AF68" s="915"/>
      <c r="AG68" s="915"/>
      <c r="AH68" s="915"/>
      <c r="AI68" s="916"/>
      <c r="AJ68" s="198">
        <f t="shared" si="14"/>
        <v>0</v>
      </c>
      <c r="AK68" s="912"/>
      <c r="AL68" s="113"/>
      <c r="AM68" s="89"/>
      <c r="AN68" s="89"/>
      <c r="AO68" s="89"/>
      <c r="AP68" s="89"/>
      <c r="AQ68" s="89"/>
      <c r="AR68" s="89"/>
    </row>
    <row r="69" spans="1:44" x14ac:dyDescent="0.2">
      <c r="A69" s="165"/>
      <c r="B69" s="1066" t="str">
        <f>ctArbeitsgebiete!G9</f>
        <v>C01</v>
      </c>
      <c r="C69" s="1076" t="str">
        <f>IF(ctArbeitsgebiete!H9&lt;&gt;"",ctArbeitsgebiete!H9,"")</f>
        <v/>
      </c>
      <c r="D69" s="1077"/>
      <c r="E69" s="1069"/>
      <c r="F69" s="1070"/>
      <c r="G69" s="1070"/>
      <c r="H69" s="1070"/>
      <c r="I69" s="1070"/>
      <c r="J69" s="1070"/>
      <c r="K69" s="1070"/>
      <c r="L69" s="1070"/>
      <c r="M69" s="1070"/>
      <c r="N69" s="1070"/>
      <c r="O69" s="1070"/>
      <c r="P69" s="1070"/>
      <c r="Q69" s="1070"/>
      <c r="R69" s="1070"/>
      <c r="S69" s="1070"/>
      <c r="T69" s="1070"/>
      <c r="U69" s="1070"/>
      <c r="V69" s="1070"/>
      <c r="W69" s="1070"/>
      <c r="X69" s="1070"/>
      <c r="Y69" s="1070"/>
      <c r="Z69" s="1070"/>
      <c r="AA69" s="1070"/>
      <c r="AB69" s="1070"/>
      <c r="AC69" s="1070"/>
      <c r="AD69" s="1070"/>
      <c r="AE69" s="1070"/>
      <c r="AF69" s="1070"/>
      <c r="AG69" s="1070"/>
      <c r="AH69" s="1070"/>
      <c r="AI69" s="1071"/>
      <c r="AJ69" s="1078">
        <f t="shared" si="14"/>
        <v>0</v>
      </c>
      <c r="AK69" s="1060"/>
      <c r="AL69" s="113"/>
      <c r="AM69" s="89"/>
      <c r="AN69" s="89"/>
      <c r="AO69" s="89"/>
      <c r="AP69" s="89"/>
      <c r="AQ69" s="89"/>
      <c r="AR69" s="89"/>
    </row>
    <row r="70" spans="1:44" x14ac:dyDescent="0.2">
      <c r="A70" s="165"/>
      <c r="B70" s="185" t="str">
        <f>ctArbeitsgebiete!G10</f>
        <v>C02</v>
      </c>
      <c r="C70" s="199" t="str">
        <f>IF(ctArbeitsgebiete!H10&lt;&gt;"",ctArbeitsgebiete!H10,"")</f>
        <v/>
      </c>
      <c r="D70" s="200"/>
      <c r="E70" s="913"/>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322"/>
      <c r="AJ70" s="201">
        <f t="shared" si="14"/>
        <v>0</v>
      </c>
      <c r="AK70" s="152"/>
      <c r="AL70" s="113"/>
      <c r="AM70" s="89"/>
      <c r="AN70" s="89"/>
      <c r="AO70" s="89"/>
      <c r="AP70" s="89"/>
      <c r="AQ70" s="89"/>
      <c r="AR70" s="89"/>
    </row>
    <row r="71" spans="1:44" x14ac:dyDescent="0.2">
      <c r="A71" s="165"/>
      <c r="B71" s="185" t="str">
        <f>ctArbeitsgebiete!G11</f>
        <v>C03</v>
      </c>
      <c r="C71" s="199" t="str">
        <f>IF(ctArbeitsgebiete!H11&lt;&gt;"",ctArbeitsgebiete!H11,"")</f>
        <v/>
      </c>
      <c r="D71" s="200"/>
      <c r="E71" s="913"/>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322"/>
      <c r="AJ71" s="201">
        <f t="shared" si="14"/>
        <v>0</v>
      </c>
      <c r="AK71" s="152"/>
      <c r="AL71" s="113"/>
      <c r="AM71" s="89"/>
      <c r="AN71" s="89"/>
      <c r="AO71" s="89"/>
      <c r="AP71" s="89"/>
      <c r="AQ71" s="89"/>
      <c r="AR71" s="89"/>
    </row>
    <row r="72" spans="1:44" x14ac:dyDescent="0.2">
      <c r="A72" s="165"/>
      <c r="B72" s="185" t="str">
        <f>ctArbeitsgebiete!G12</f>
        <v>C04</v>
      </c>
      <c r="C72" s="199" t="str">
        <f>IF(ctArbeitsgebiete!H12&lt;&gt;"",ctArbeitsgebiete!H12,"")</f>
        <v/>
      </c>
      <c r="D72" s="200"/>
      <c r="E72" s="913"/>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322"/>
      <c r="AJ72" s="201">
        <f t="shared" si="14"/>
        <v>0</v>
      </c>
      <c r="AK72" s="152"/>
      <c r="AL72" s="113"/>
      <c r="AM72" s="89"/>
      <c r="AN72" s="89"/>
      <c r="AO72" s="89"/>
      <c r="AP72" s="89"/>
      <c r="AQ72" s="89"/>
      <c r="AR72" s="89"/>
    </row>
    <row r="73" spans="1:44" x14ac:dyDescent="0.2">
      <c r="A73" s="165"/>
      <c r="B73" s="185" t="str">
        <f>ctArbeitsgebiete!G13</f>
        <v>C05</v>
      </c>
      <c r="C73" s="199" t="str">
        <f>IF(ctArbeitsgebiete!H13&lt;&gt;"",ctArbeitsgebiete!H13,"")</f>
        <v/>
      </c>
      <c r="D73" s="200"/>
      <c r="E73" s="913"/>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322"/>
      <c r="AJ73" s="201">
        <f t="shared" si="14"/>
        <v>0</v>
      </c>
      <c r="AK73" s="152"/>
      <c r="AL73" s="113"/>
      <c r="AM73" s="89"/>
      <c r="AN73" s="89"/>
      <c r="AO73" s="89"/>
      <c r="AP73" s="89"/>
      <c r="AQ73" s="89"/>
      <c r="AR73" s="89"/>
    </row>
    <row r="74" spans="1:44" x14ac:dyDescent="0.2">
      <c r="A74" s="165"/>
      <c r="B74" s="185" t="str">
        <f>ctArbeitsgebiete!G14</f>
        <v>C06</v>
      </c>
      <c r="C74" s="199" t="str">
        <f>IF(ctArbeitsgebiete!H14&lt;&gt;"",ctArbeitsgebiete!H14,"")</f>
        <v/>
      </c>
      <c r="D74" s="200"/>
      <c r="E74" s="913"/>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322"/>
      <c r="AJ74" s="201">
        <f t="shared" si="14"/>
        <v>0</v>
      </c>
      <c r="AK74" s="152"/>
      <c r="AL74" s="113"/>
      <c r="AM74" s="89"/>
      <c r="AN74" s="89"/>
      <c r="AO74" s="89"/>
      <c r="AP74" s="89"/>
      <c r="AQ74" s="89"/>
      <c r="AR74" s="89"/>
    </row>
    <row r="75" spans="1:44" x14ac:dyDescent="0.2">
      <c r="A75" s="165"/>
      <c r="B75" s="185" t="str">
        <f>ctArbeitsgebiete!G15</f>
        <v>C07</v>
      </c>
      <c r="C75" s="199" t="str">
        <f>IF(ctArbeitsgebiete!H15&lt;&gt;"",ctArbeitsgebiete!H15,"")</f>
        <v/>
      </c>
      <c r="D75" s="200"/>
      <c r="E75" s="913"/>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322"/>
      <c r="AJ75" s="201">
        <f t="shared" si="14"/>
        <v>0</v>
      </c>
      <c r="AK75" s="152"/>
      <c r="AL75" s="113"/>
      <c r="AM75" s="89"/>
      <c r="AN75" s="89"/>
      <c r="AO75" s="89"/>
      <c r="AP75" s="89"/>
      <c r="AQ75" s="89"/>
      <c r="AR75" s="89"/>
    </row>
    <row r="76" spans="1:44" x14ac:dyDescent="0.2">
      <c r="A76" s="165"/>
      <c r="B76" s="189" t="str">
        <f>ctArbeitsgebiete!G16</f>
        <v>C08</v>
      </c>
      <c r="C76" s="202" t="str">
        <f>IF(ctArbeitsgebiete!H16&lt;&gt;"",ctArbeitsgebiete!H16,"")</f>
        <v/>
      </c>
      <c r="D76" s="203"/>
      <c r="E76" s="914"/>
      <c r="F76" s="915"/>
      <c r="G76" s="915"/>
      <c r="H76" s="915"/>
      <c r="I76" s="915"/>
      <c r="J76" s="915"/>
      <c r="K76" s="915"/>
      <c r="L76" s="915"/>
      <c r="M76" s="915"/>
      <c r="N76" s="915"/>
      <c r="O76" s="915"/>
      <c r="P76" s="915"/>
      <c r="Q76" s="915"/>
      <c r="R76" s="915"/>
      <c r="S76" s="915"/>
      <c r="T76" s="915"/>
      <c r="U76" s="915"/>
      <c r="V76" s="915"/>
      <c r="W76" s="915"/>
      <c r="X76" s="915"/>
      <c r="Y76" s="915"/>
      <c r="Z76" s="915"/>
      <c r="AA76" s="915"/>
      <c r="AB76" s="915"/>
      <c r="AC76" s="915"/>
      <c r="AD76" s="915"/>
      <c r="AE76" s="915"/>
      <c r="AF76" s="915"/>
      <c r="AG76" s="915"/>
      <c r="AH76" s="915"/>
      <c r="AI76" s="916"/>
      <c r="AJ76" s="204">
        <f t="shared" si="14"/>
        <v>0</v>
      </c>
      <c r="AK76" s="912"/>
      <c r="AL76" s="113"/>
      <c r="AM76" s="89"/>
      <c r="AN76" s="89"/>
      <c r="AO76" s="89"/>
      <c r="AP76" s="89"/>
      <c r="AQ76" s="89"/>
      <c r="AR76" s="89"/>
    </row>
    <row r="77" spans="1:44" x14ac:dyDescent="0.2">
      <c r="A77" s="165"/>
      <c r="B77" s="1066" t="str">
        <f>ctArbeitsgebiete!J9</f>
        <v>D01</v>
      </c>
      <c r="C77" s="1079" t="str">
        <f>IF(ctArbeitsgebiete!K9&lt;&gt;"",ctArbeitsgebiete!K9,"")</f>
        <v>DAG</v>
      </c>
      <c r="D77" s="1080"/>
      <c r="E77" s="1069"/>
      <c r="F77" s="1070"/>
      <c r="G77" s="1070"/>
      <c r="H77" s="1070"/>
      <c r="I77" s="1070"/>
      <c r="J77" s="1070"/>
      <c r="K77" s="1070"/>
      <c r="L77" s="1070"/>
      <c r="M77" s="1070"/>
      <c r="N77" s="1070"/>
      <c r="O77" s="1070"/>
      <c r="P77" s="1070"/>
      <c r="Q77" s="1070"/>
      <c r="R77" s="1070"/>
      <c r="S77" s="1070"/>
      <c r="T77" s="1070"/>
      <c r="U77" s="1070"/>
      <c r="V77" s="1070"/>
      <c r="W77" s="1070"/>
      <c r="X77" s="1070"/>
      <c r="Y77" s="1070"/>
      <c r="Z77" s="1070"/>
      <c r="AA77" s="1070"/>
      <c r="AB77" s="1070"/>
      <c r="AC77" s="1070"/>
      <c r="AD77" s="1070"/>
      <c r="AE77" s="1070"/>
      <c r="AF77" s="1070"/>
      <c r="AG77" s="1070"/>
      <c r="AH77" s="1070"/>
      <c r="AI77" s="1071"/>
      <c r="AJ77" s="1059">
        <f t="shared" si="14"/>
        <v>0</v>
      </c>
      <c r="AK77" s="1060"/>
      <c r="AL77" s="113"/>
      <c r="AM77" s="89"/>
      <c r="AN77" s="89"/>
      <c r="AO77" s="89"/>
      <c r="AP77" s="89"/>
      <c r="AQ77" s="89"/>
      <c r="AR77" s="89"/>
    </row>
    <row r="78" spans="1:44" x14ac:dyDescent="0.2">
      <c r="A78" s="165"/>
      <c r="B78" s="185" t="str">
        <f>ctArbeitsgebiete!J10</f>
        <v>D02</v>
      </c>
      <c r="C78" s="205" t="str">
        <f>IF(ctArbeitsgebiete!K10&lt;&gt;"",ctArbeitsgebiete!K10,"")</f>
        <v>Betriebsausflug</v>
      </c>
      <c r="D78" s="206"/>
      <c r="E78" s="913"/>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322"/>
      <c r="AJ78" s="174">
        <f t="shared" si="14"/>
        <v>0</v>
      </c>
      <c r="AK78" s="152"/>
      <c r="AL78" s="113"/>
      <c r="AM78" s="89"/>
      <c r="AN78" s="89"/>
      <c r="AO78" s="89"/>
      <c r="AP78" s="89"/>
      <c r="AQ78" s="89"/>
      <c r="AR78" s="89"/>
    </row>
    <row r="79" spans="1:44" x14ac:dyDescent="0.2">
      <c r="A79" s="165"/>
      <c r="B79" s="185" t="str">
        <f>ctArbeitsgebiete!J11</f>
        <v>D03</v>
      </c>
      <c r="C79" s="205" t="str">
        <f>IF(ctArbeitsgebiete!K11&lt;&gt;"",ctArbeitsgebiete!K11,"")</f>
        <v/>
      </c>
      <c r="D79" s="206"/>
      <c r="E79" s="913"/>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322"/>
      <c r="AJ79" s="174">
        <f t="shared" si="14"/>
        <v>0</v>
      </c>
      <c r="AK79" s="152"/>
      <c r="AL79" s="113"/>
      <c r="AM79" s="89"/>
      <c r="AN79" s="89"/>
      <c r="AO79" s="89"/>
      <c r="AP79" s="89"/>
      <c r="AQ79" s="89"/>
      <c r="AR79" s="89"/>
    </row>
    <row r="80" spans="1:44" x14ac:dyDescent="0.2">
      <c r="A80" s="165"/>
      <c r="B80" s="185" t="str">
        <f>ctArbeitsgebiete!J12</f>
        <v>D04</v>
      </c>
      <c r="C80" s="205" t="str">
        <f>IF(ctArbeitsgebiete!K12&lt;&gt;"",ctArbeitsgebiete!K12,"")</f>
        <v/>
      </c>
      <c r="D80" s="206"/>
      <c r="E80" s="913"/>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322"/>
      <c r="AJ80" s="174">
        <f t="shared" si="14"/>
        <v>0</v>
      </c>
      <c r="AK80" s="152"/>
      <c r="AL80" s="113"/>
      <c r="AM80" s="89"/>
      <c r="AN80" s="89"/>
      <c r="AO80" s="89"/>
      <c r="AP80" s="89"/>
      <c r="AQ80" s="89"/>
      <c r="AR80" s="89"/>
    </row>
    <row r="81" spans="1:44" x14ac:dyDescent="0.2">
      <c r="A81" s="165"/>
      <c r="B81" s="185" t="str">
        <f>ctArbeitsgebiete!J13</f>
        <v>D05</v>
      </c>
      <c r="C81" s="205" t="str">
        <f>IF(ctArbeitsgebiete!K13&lt;&gt;"",ctArbeitsgebiete!K13,"")</f>
        <v/>
      </c>
      <c r="D81" s="206"/>
      <c r="E81" s="913"/>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322"/>
      <c r="AJ81" s="174">
        <f t="shared" si="14"/>
        <v>0</v>
      </c>
      <c r="AK81" s="152"/>
      <c r="AL81" s="113"/>
      <c r="AM81" s="89"/>
      <c r="AN81" s="89"/>
      <c r="AO81" s="89"/>
      <c r="AP81" s="89"/>
      <c r="AQ81" s="89"/>
      <c r="AR81" s="89"/>
    </row>
    <row r="82" spans="1:44" x14ac:dyDescent="0.2">
      <c r="A82" s="165"/>
      <c r="B82" s="185" t="str">
        <f>ctArbeitsgebiete!J14</f>
        <v>D06</v>
      </c>
      <c r="C82" s="205" t="str">
        <f>IF(ctArbeitsgebiete!K14&lt;&gt;"",ctArbeitsgebiete!K14,"")</f>
        <v/>
      </c>
      <c r="D82" s="206"/>
      <c r="E82" s="913"/>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322"/>
      <c r="AJ82" s="174">
        <f t="shared" si="14"/>
        <v>0</v>
      </c>
      <c r="AK82" s="152"/>
      <c r="AL82" s="113"/>
      <c r="AM82" s="89"/>
      <c r="AN82" s="89"/>
      <c r="AO82" s="89"/>
      <c r="AP82" s="89"/>
      <c r="AQ82" s="89"/>
      <c r="AR82" s="89"/>
    </row>
    <row r="83" spans="1:44" x14ac:dyDescent="0.2">
      <c r="A83" s="165"/>
      <c r="B83" s="185" t="str">
        <f>ctArbeitsgebiete!J15</f>
        <v>D07</v>
      </c>
      <c r="C83" s="205" t="str">
        <f>IF(ctArbeitsgebiete!K15&lt;&gt;"",ctArbeitsgebiete!K15,"")</f>
        <v/>
      </c>
      <c r="D83" s="206"/>
      <c r="E83" s="913"/>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322"/>
      <c r="AJ83" s="174">
        <f t="shared" si="14"/>
        <v>0</v>
      </c>
      <c r="AK83" s="152"/>
      <c r="AL83" s="113"/>
      <c r="AM83" s="89"/>
      <c r="AN83" s="89"/>
      <c r="AO83" s="89"/>
      <c r="AP83" s="89"/>
      <c r="AQ83" s="89"/>
      <c r="AR83" s="89"/>
    </row>
    <row r="84" spans="1:44" ht="13.5" thickBot="1" x14ac:dyDescent="0.25">
      <c r="A84" s="165"/>
      <c r="B84" s="189" t="str">
        <f>ctArbeitsgebiete!J16</f>
        <v>D08</v>
      </c>
      <c r="C84" s="207" t="str">
        <f>IF(ctArbeitsgebiete!K16&lt;&gt;"",ctArbeitsgebiete!K16,"")</f>
        <v/>
      </c>
      <c r="D84" s="208"/>
      <c r="E84" s="925"/>
      <c r="F84" s="926"/>
      <c r="G84" s="926"/>
      <c r="H84" s="926"/>
      <c r="I84" s="926"/>
      <c r="J84" s="926"/>
      <c r="K84" s="926"/>
      <c r="L84" s="926"/>
      <c r="M84" s="926"/>
      <c r="N84" s="926"/>
      <c r="O84" s="926"/>
      <c r="P84" s="926"/>
      <c r="Q84" s="926"/>
      <c r="R84" s="926"/>
      <c r="S84" s="926"/>
      <c r="T84" s="926"/>
      <c r="U84" s="926"/>
      <c r="V84" s="926"/>
      <c r="W84" s="926"/>
      <c r="X84" s="926"/>
      <c r="Y84" s="926"/>
      <c r="Z84" s="926"/>
      <c r="AA84" s="926"/>
      <c r="AB84" s="926"/>
      <c r="AC84" s="926"/>
      <c r="AD84" s="926"/>
      <c r="AE84" s="926"/>
      <c r="AF84" s="926"/>
      <c r="AG84" s="926"/>
      <c r="AH84" s="926"/>
      <c r="AI84" s="927"/>
      <c r="AJ84" s="142">
        <f t="shared" si="14"/>
        <v>0</v>
      </c>
      <c r="AK84" s="912"/>
      <c r="AL84" s="113"/>
      <c r="AM84" s="89"/>
      <c r="AN84" s="89"/>
      <c r="AO84" s="89"/>
      <c r="AP84" s="89"/>
      <c r="AQ84" s="89"/>
      <c r="AR84" s="89"/>
    </row>
    <row r="85" spans="1:44" ht="22.5" hidden="1" customHeight="1" outlineLevel="1" thickBot="1" x14ac:dyDescent="0.25">
      <c r="A85" s="8" t="s">
        <v>424</v>
      </c>
      <c r="B85" s="928"/>
      <c r="C85" s="929" t="s">
        <v>433</v>
      </c>
      <c r="D85" s="930"/>
      <c r="E85" s="931"/>
      <c r="F85" s="932"/>
      <c r="G85" s="932"/>
      <c r="H85" s="932"/>
      <c r="I85" s="932"/>
      <c r="J85" s="932"/>
      <c r="K85" s="932"/>
      <c r="L85" s="932"/>
      <c r="M85" s="932"/>
      <c r="N85" s="932"/>
      <c r="O85" s="932"/>
      <c r="P85" s="932"/>
      <c r="Q85" s="932"/>
      <c r="R85" s="932"/>
      <c r="S85" s="932"/>
      <c r="T85" s="932"/>
      <c r="U85" s="932"/>
      <c r="V85" s="932"/>
      <c r="W85" s="932"/>
      <c r="X85" s="932"/>
      <c r="Y85" s="932"/>
      <c r="Z85" s="932"/>
      <c r="AA85" s="932"/>
      <c r="AB85" s="932"/>
      <c r="AC85" s="932"/>
      <c r="AD85" s="932"/>
      <c r="AE85" s="932">
        <f>IF(AND(AE86="JA",AE14&gt;=AE16),IF(Eingabeblatt!$D$7="JA",(AE14-AE16)*1.25,AE14-AE16),IF(AND(AE86="JA",Eingabeblatt!$I$10="NEIN"),AE14-AE16,0))</f>
        <v>0</v>
      </c>
      <c r="AF85" s="932">
        <f>IF(AND(AF86="JA",AF14&gt;=AF16),IF(Eingabeblatt!$D$7="JA",(AF14-AF16)*1.25,AF14-AF16),IF(AND(AF86="JA",Eingabeblatt!$I$10="NEIN"),AF14-AF16,0))</f>
        <v>0</v>
      </c>
      <c r="AG85" s="932">
        <f>IF(AND(AG86="JA",AG14&gt;=AG16),IF(Eingabeblatt!$D$7="JA",(AG14-AG16)*1.25,AG14-AG16),IF(AND(AG86="JA",Eingabeblatt!$I$10="NEIN"),AG14-AG16,0))</f>
        <v>0</v>
      </c>
      <c r="AH85" s="932">
        <f>IF(AND(AH86="JA",AH14&gt;=AH16),IF(Eingabeblatt!$D$7="JA",(AH14-AH16)*1.25,AH14-AH16),IF(AND(AH86="JA",Eingabeblatt!$I$10="NEIN"),AH14-AH16,0))</f>
        <v>0</v>
      </c>
      <c r="AI85" s="933">
        <f>IF(AND(AI86="JA",AI14&gt;=AI16),IF(Eingabeblatt!$D$7="JA",(AI14-AI16)*1.25,AI14-AI16),IF(AND(AI86="JA",Eingabeblatt!$I$10="NEIN"),AI14-AI16,0))</f>
        <v>0</v>
      </c>
      <c r="AJ85" s="1081">
        <f>SUM(E85:AI85)</f>
        <v>0</v>
      </c>
      <c r="AK85" s="990">
        <f>ROUND(B85+D85+AJ85,8)</f>
        <v>0</v>
      </c>
      <c r="AL85" s="141" t="s">
        <v>434</v>
      </c>
      <c r="AM85" s="91"/>
      <c r="AN85" s="113"/>
      <c r="AO85" s="89"/>
      <c r="AP85" s="89"/>
      <c r="AQ85" s="89"/>
      <c r="AR85" s="89"/>
    </row>
    <row r="86" spans="1:44" ht="15" hidden="1" customHeight="1" outlineLevel="1" x14ac:dyDescent="0.2">
      <c r="A86" s="8" t="s">
        <v>424</v>
      </c>
      <c r="B86" s="934"/>
      <c r="C86" s="935" t="s">
        <v>435</v>
      </c>
      <c r="D86" s="936"/>
      <c r="E86" s="937"/>
      <c r="F86" s="938"/>
      <c r="G86" s="938"/>
      <c r="H86" s="938"/>
      <c r="I86" s="938"/>
      <c r="J86" s="938"/>
      <c r="K86" s="938"/>
      <c r="L86" s="938"/>
      <c r="M86" s="938"/>
      <c r="N86" s="938"/>
      <c r="O86" s="938"/>
      <c r="P86" s="938"/>
      <c r="Q86" s="938"/>
      <c r="R86" s="938"/>
      <c r="S86" s="938"/>
      <c r="T86" s="938"/>
      <c r="U86" s="938"/>
      <c r="V86" s="938"/>
      <c r="W86" s="938"/>
      <c r="X86" s="938"/>
      <c r="Y86" s="938"/>
      <c r="Z86" s="938"/>
      <c r="AA86" s="938"/>
      <c r="AB86" s="938"/>
      <c r="AC86" s="938"/>
      <c r="AD86" s="938"/>
      <c r="AE86" s="938" t="s">
        <v>436</v>
      </c>
      <c r="AF86" s="938" t="s">
        <v>436</v>
      </c>
      <c r="AG86" s="938" t="s">
        <v>436</v>
      </c>
      <c r="AH86" s="938" t="s">
        <v>436</v>
      </c>
      <c r="AI86" s="939" t="s">
        <v>436</v>
      </c>
      <c r="AK86" s="210"/>
      <c r="AL86" s="141" t="s">
        <v>437</v>
      </c>
      <c r="AM86" s="89"/>
      <c r="AN86" s="113"/>
      <c r="AO86" s="89"/>
      <c r="AP86" s="89"/>
      <c r="AQ86" s="89"/>
      <c r="AR86" s="89"/>
    </row>
    <row r="87" spans="1:44" ht="15" hidden="1" customHeight="1" outlineLevel="1" x14ac:dyDescent="0.2">
      <c r="A87" s="8" t="s">
        <v>424</v>
      </c>
      <c r="B87" s="934"/>
      <c r="C87" s="934" t="str">
        <f>"Zuschlagsber. = " &amp; Eingabeblatt!$D$7</f>
        <v>Zuschlagsber. = NEIN</v>
      </c>
      <c r="D87" s="936"/>
      <c r="E87" s="940"/>
      <c r="F87" s="941"/>
      <c r="G87" s="941"/>
      <c r="H87" s="941"/>
      <c r="I87" s="941"/>
      <c r="J87" s="941"/>
      <c r="K87" s="941"/>
      <c r="L87" s="941"/>
      <c r="M87" s="941"/>
      <c r="N87" s="941"/>
      <c r="O87" s="941"/>
      <c r="P87" s="941"/>
      <c r="Q87" s="941"/>
      <c r="R87" s="941"/>
      <c r="S87" s="941"/>
      <c r="T87" s="941"/>
      <c r="U87" s="941"/>
      <c r="V87" s="941"/>
      <c r="W87" s="941"/>
      <c r="X87" s="941"/>
      <c r="Y87" s="941"/>
      <c r="Z87" s="941"/>
      <c r="AA87" s="941"/>
      <c r="AB87" s="941"/>
      <c r="AC87" s="941"/>
      <c r="AD87" s="941"/>
      <c r="AE87" s="941"/>
      <c r="AF87" s="941"/>
      <c r="AG87" s="941"/>
      <c r="AH87" s="941"/>
      <c r="AI87" s="942"/>
      <c r="AK87" s="210"/>
      <c r="AL87" s="113"/>
      <c r="AM87" s="113"/>
      <c r="AN87" s="113"/>
      <c r="AO87" s="89"/>
      <c r="AP87" s="89"/>
      <c r="AQ87" s="89"/>
      <c r="AR87" s="89"/>
    </row>
    <row r="88" spans="1:44" hidden="1" outlineLevel="1" collapsed="1" x14ac:dyDescent="0.2">
      <c r="E88" s="323"/>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5"/>
      <c r="AK88" s="211"/>
      <c r="AL88" s="113"/>
      <c r="AM88" s="89"/>
      <c r="AN88" s="113"/>
      <c r="AO88" s="89"/>
      <c r="AP88" s="89"/>
      <c r="AQ88" s="89"/>
      <c r="AR88" s="89"/>
    </row>
    <row r="89" spans="1:44" ht="12.75" hidden="1" customHeight="1" outlineLevel="1" x14ac:dyDescent="0.2">
      <c r="C89" s="212"/>
      <c r="E89" s="326"/>
      <c r="F89" s="324"/>
      <c r="G89" s="324"/>
      <c r="H89" s="324"/>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5"/>
      <c r="AK89" s="210"/>
      <c r="AL89" s="113"/>
      <c r="AM89" s="89"/>
      <c r="AN89" s="89"/>
      <c r="AO89" s="89"/>
      <c r="AP89" s="89"/>
      <c r="AQ89" s="89"/>
      <c r="AR89" s="89"/>
    </row>
    <row r="90" spans="1:44" ht="28.5" hidden="1" customHeight="1" outlineLevel="1" x14ac:dyDescent="0.2">
      <c r="C90" s="213" t="s">
        <v>439</v>
      </c>
      <c r="E90" s="326"/>
      <c r="F90" s="324"/>
      <c r="G90" s="324"/>
      <c r="H90" s="324"/>
      <c r="I90" s="324"/>
      <c r="J90" s="324"/>
      <c r="K90" s="327"/>
      <c r="L90" s="327"/>
      <c r="M90" s="327"/>
      <c r="N90" s="324"/>
      <c r="O90" s="324"/>
      <c r="P90" s="324"/>
      <c r="Q90" s="324"/>
      <c r="R90" s="324"/>
      <c r="S90" s="324"/>
      <c r="T90" s="324"/>
      <c r="U90" s="324"/>
      <c r="V90" s="324"/>
      <c r="W90" s="324"/>
      <c r="X90" s="324"/>
      <c r="Y90" s="324"/>
      <c r="Z90" s="324"/>
      <c r="AA90" s="324"/>
      <c r="AB90" s="324"/>
      <c r="AC90" s="324"/>
      <c r="AD90" s="324"/>
      <c r="AE90" s="324"/>
      <c r="AF90" s="324"/>
      <c r="AG90" s="324"/>
      <c r="AH90" s="324"/>
      <c r="AI90" s="325"/>
      <c r="AK90" s="210"/>
      <c r="AL90" s="113"/>
      <c r="AM90" s="89"/>
      <c r="AN90" s="89"/>
      <c r="AO90" s="89"/>
      <c r="AP90" s="89"/>
      <c r="AQ90" s="89"/>
      <c r="AR90" s="89"/>
    </row>
    <row r="91" spans="1:44" ht="28.5" hidden="1" customHeight="1" outlineLevel="1" thickBot="1" x14ac:dyDescent="0.3">
      <c r="C91" s="214" t="s">
        <v>440</v>
      </c>
      <c r="D91" s="215"/>
      <c r="E91" s="236"/>
      <c r="F91" s="327"/>
      <c r="G91" s="327"/>
      <c r="H91" s="327"/>
      <c r="I91" s="327"/>
      <c r="J91" s="327"/>
      <c r="K91" s="327"/>
      <c r="L91" s="327"/>
      <c r="M91" s="327"/>
      <c r="N91" s="327"/>
      <c r="O91" s="327"/>
      <c r="P91" s="327"/>
      <c r="Q91" s="327"/>
      <c r="R91" s="327"/>
      <c r="S91" s="327"/>
      <c r="T91" s="327"/>
      <c r="U91" s="328"/>
      <c r="V91" s="327"/>
      <c r="W91" s="327"/>
      <c r="X91" s="327"/>
      <c r="Y91" s="327"/>
      <c r="Z91" s="327"/>
      <c r="AA91" s="327"/>
      <c r="AB91" s="327"/>
      <c r="AC91" s="327"/>
      <c r="AD91" s="327"/>
      <c r="AE91" s="327"/>
      <c r="AF91" s="328" t="s">
        <v>442</v>
      </c>
      <c r="AG91" s="327"/>
      <c r="AH91" s="943"/>
      <c r="AI91" s="329"/>
      <c r="AJ91" s="88"/>
      <c r="AK91" s="216"/>
      <c r="AL91" s="113"/>
      <c r="AM91" s="89"/>
      <c r="AN91" s="89"/>
      <c r="AO91" s="89"/>
      <c r="AP91" s="89"/>
      <c r="AQ91" s="89"/>
      <c r="AR91" s="89"/>
    </row>
    <row r="92" spans="1:44" ht="28.5" hidden="1" customHeight="1" outlineLevel="1" thickBot="1" x14ac:dyDescent="0.25">
      <c r="C92" s="217" t="s">
        <v>443</v>
      </c>
      <c r="E92" s="326"/>
      <c r="F92" s="324"/>
      <c r="G92" s="324"/>
      <c r="H92" s="324"/>
      <c r="I92" s="330"/>
      <c r="J92" s="324"/>
      <c r="K92" s="327"/>
      <c r="L92" s="327"/>
      <c r="M92" s="327"/>
      <c r="N92" s="324"/>
      <c r="O92" s="324"/>
      <c r="P92" s="324"/>
      <c r="Q92" s="324"/>
      <c r="R92" s="324"/>
      <c r="S92" s="324"/>
      <c r="T92" s="324"/>
      <c r="U92" s="324"/>
      <c r="V92" s="324"/>
      <c r="W92" s="324"/>
      <c r="X92" s="324"/>
      <c r="Y92" s="324"/>
      <c r="Z92" s="324"/>
      <c r="AA92" s="324"/>
      <c r="AB92" s="324"/>
      <c r="AC92" s="324"/>
      <c r="AD92" s="324"/>
      <c r="AE92" s="324"/>
      <c r="AF92" s="324"/>
      <c r="AG92" s="324"/>
      <c r="AH92" s="324"/>
      <c r="AI92" s="325"/>
      <c r="AK92" s="210"/>
      <c r="AL92" s="113"/>
      <c r="AM92" s="89"/>
      <c r="AN92" s="89"/>
      <c r="AO92" s="89"/>
      <c r="AP92" s="89"/>
      <c r="AQ92" s="89"/>
      <c r="AR92" s="89"/>
    </row>
    <row r="93" spans="1:44" ht="28.5" hidden="1" customHeight="1" outlineLevel="1" x14ac:dyDescent="0.2">
      <c r="C93" s="217"/>
      <c r="E93" s="326"/>
      <c r="F93" s="324"/>
      <c r="G93" s="324"/>
      <c r="H93" s="324"/>
      <c r="I93" s="324"/>
      <c r="J93" s="324"/>
      <c r="K93" s="327"/>
      <c r="L93" s="327"/>
      <c r="M93" s="327"/>
      <c r="N93" s="324"/>
      <c r="O93" s="324"/>
      <c r="P93" s="324"/>
      <c r="Q93" s="324"/>
      <c r="R93" s="324"/>
      <c r="S93" s="324"/>
      <c r="T93" s="324"/>
      <c r="U93" s="324"/>
      <c r="V93" s="324"/>
      <c r="W93" s="324"/>
      <c r="X93" s="324"/>
      <c r="Y93" s="324"/>
      <c r="Z93" s="324"/>
      <c r="AA93" s="324"/>
      <c r="AB93" s="324"/>
      <c r="AC93" s="324"/>
      <c r="AD93" s="324"/>
      <c r="AE93" s="324"/>
      <c r="AF93" s="324"/>
      <c r="AG93" s="324"/>
      <c r="AH93" s="324"/>
      <c r="AI93" s="325"/>
      <c r="AK93" s="210"/>
      <c r="AL93" s="113"/>
      <c r="AM93" s="89"/>
      <c r="AN93" s="89"/>
      <c r="AO93" s="89"/>
      <c r="AP93" s="89"/>
      <c r="AQ93" s="89"/>
      <c r="AR93" s="89"/>
    </row>
    <row r="94" spans="1:44" collapsed="1" x14ac:dyDescent="0.2">
      <c r="A94" s="165"/>
      <c r="B94" s="185"/>
      <c r="C94" s="340" t="str">
        <f>IF(ctArbeitsgebiete!H20&lt;&gt;"",ctArbeitsgebiete!H20,"")</f>
        <v/>
      </c>
      <c r="D94" s="334"/>
      <c r="E94" s="944"/>
      <c r="F94" s="945"/>
      <c r="G94" s="945"/>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6"/>
      <c r="AJ94" s="1082">
        <f>SUM(E94:AI94)</f>
        <v>0</v>
      </c>
      <c r="AK94" s="152"/>
      <c r="AL94" s="113"/>
      <c r="AM94" s="89"/>
      <c r="AN94" s="89"/>
      <c r="AO94" s="89"/>
      <c r="AP94" s="89"/>
      <c r="AQ94" s="89"/>
      <c r="AR94" s="89"/>
    </row>
    <row r="95" spans="1:44" x14ac:dyDescent="0.2">
      <c r="A95" s="165"/>
      <c r="B95" s="185"/>
      <c r="C95" s="340" t="str">
        <f>IF(ctArbeitsgebiete!H21&lt;&gt;"",ctArbeitsgebiete!H21,"")</f>
        <v/>
      </c>
      <c r="D95" s="334"/>
      <c r="E95" s="944"/>
      <c r="F95" s="945"/>
      <c r="G95" s="945"/>
      <c r="H95" s="945"/>
      <c r="I95" s="945"/>
      <c r="J95" s="945"/>
      <c r="K95" s="945"/>
      <c r="L95" s="945"/>
      <c r="M95" s="945"/>
      <c r="N95" s="945"/>
      <c r="O95" s="945"/>
      <c r="P95" s="945"/>
      <c r="Q95" s="945"/>
      <c r="R95" s="945"/>
      <c r="S95" s="945"/>
      <c r="T95" s="945"/>
      <c r="U95" s="945"/>
      <c r="V95" s="945"/>
      <c r="W95" s="945"/>
      <c r="X95" s="945"/>
      <c r="Y95" s="945"/>
      <c r="Z95" s="945"/>
      <c r="AA95" s="945"/>
      <c r="AB95" s="945"/>
      <c r="AC95" s="945"/>
      <c r="AD95" s="945"/>
      <c r="AE95" s="945"/>
      <c r="AF95" s="945"/>
      <c r="AG95" s="945"/>
      <c r="AH95" s="945"/>
      <c r="AI95" s="946"/>
      <c r="AJ95" s="338">
        <f t="shared" ref="AJ95:AJ105" si="15">SUM(E95:AI95)</f>
        <v>0</v>
      </c>
      <c r="AK95" s="152"/>
      <c r="AL95" s="113"/>
      <c r="AM95" s="89"/>
      <c r="AN95" s="89"/>
      <c r="AO95" s="89"/>
      <c r="AP95" s="89"/>
      <c r="AQ95" s="89"/>
      <c r="AR95" s="89"/>
    </row>
    <row r="96" spans="1:44" x14ac:dyDescent="0.2">
      <c r="A96" s="165"/>
      <c r="B96" s="185"/>
      <c r="C96" s="340" t="str">
        <f>IF(ctArbeitsgebiete!H22&lt;&gt;"",ctArbeitsgebiete!H22,"")</f>
        <v/>
      </c>
      <c r="D96" s="334"/>
      <c r="E96" s="944"/>
      <c r="F96" s="945"/>
      <c r="G96" s="945"/>
      <c r="H96" s="945"/>
      <c r="I96" s="945"/>
      <c r="J96" s="945"/>
      <c r="K96" s="945"/>
      <c r="L96" s="945"/>
      <c r="M96" s="945"/>
      <c r="N96" s="945"/>
      <c r="O96" s="945"/>
      <c r="P96" s="945"/>
      <c r="Q96" s="945"/>
      <c r="R96" s="945"/>
      <c r="S96" s="945"/>
      <c r="T96" s="945"/>
      <c r="U96" s="945"/>
      <c r="V96" s="945"/>
      <c r="W96" s="945"/>
      <c r="X96" s="945"/>
      <c r="Y96" s="945"/>
      <c r="Z96" s="945"/>
      <c r="AA96" s="945"/>
      <c r="AB96" s="945"/>
      <c r="AC96" s="945"/>
      <c r="AD96" s="945"/>
      <c r="AE96" s="945"/>
      <c r="AF96" s="945"/>
      <c r="AG96" s="945"/>
      <c r="AH96" s="945"/>
      <c r="AI96" s="946"/>
      <c r="AJ96" s="338">
        <f t="shared" si="15"/>
        <v>0</v>
      </c>
      <c r="AK96" s="152"/>
      <c r="AL96" s="113"/>
      <c r="AM96" s="89"/>
      <c r="AN96" s="89"/>
      <c r="AO96" s="89"/>
      <c r="AP96" s="89"/>
      <c r="AQ96" s="89"/>
      <c r="AR96" s="89"/>
    </row>
    <row r="97" spans="1:44" x14ac:dyDescent="0.2">
      <c r="A97" s="165"/>
      <c r="B97" s="185"/>
      <c r="C97" s="340" t="str">
        <f>IF(ctArbeitsgebiete!H23&lt;&gt;"",ctArbeitsgebiete!H23,"")</f>
        <v/>
      </c>
      <c r="D97" s="334"/>
      <c r="E97" s="944"/>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6"/>
      <c r="AJ97" s="338">
        <f t="shared" si="15"/>
        <v>0</v>
      </c>
      <c r="AK97" s="152"/>
      <c r="AL97" s="113"/>
      <c r="AM97" s="89"/>
      <c r="AN97" s="89"/>
      <c r="AO97" s="89"/>
      <c r="AP97" s="89"/>
      <c r="AQ97" s="89"/>
      <c r="AR97" s="89"/>
    </row>
    <row r="98" spans="1:44" x14ac:dyDescent="0.2">
      <c r="A98" s="165"/>
      <c r="B98" s="185"/>
      <c r="C98" s="340" t="str">
        <f>IF(ctArbeitsgebiete!H24&lt;&gt;"",ctArbeitsgebiete!H24,"")</f>
        <v/>
      </c>
      <c r="D98" s="334"/>
      <c r="E98" s="944"/>
      <c r="F98" s="945"/>
      <c r="G98" s="945"/>
      <c r="H98" s="945"/>
      <c r="I98" s="945"/>
      <c r="J98" s="945"/>
      <c r="K98" s="945"/>
      <c r="L98" s="945"/>
      <c r="M98" s="945"/>
      <c r="N98" s="945"/>
      <c r="O98" s="945"/>
      <c r="P98" s="945"/>
      <c r="Q98" s="945"/>
      <c r="R98" s="945"/>
      <c r="S98" s="945"/>
      <c r="T98" s="945"/>
      <c r="U98" s="945"/>
      <c r="V98" s="945"/>
      <c r="W98" s="945"/>
      <c r="X98" s="945"/>
      <c r="Y98" s="945"/>
      <c r="Z98" s="945"/>
      <c r="AA98" s="945"/>
      <c r="AB98" s="945"/>
      <c r="AC98" s="945"/>
      <c r="AD98" s="945"/>
      <c r="AE98" s="945"/>
      <c r="AF98" s="945"/>
      <c r="AG98" s="945"/>
      <c r="AH98" s="945"/>
      <c r="AI98" s="946"/>
      <c r="AJ98" s="338">
        <f t="shared" si="15"/>
        <v>0</v>
      </c>
      <c r="AK98" s="152"/>
      <c r="AL98" s="113"/>
      <c r="AM98" s="89"/>
      <c r="AN98" s="89"/>
      <c r="AO98" s="89"/>
      <c r="AP98" s="89"/>
      <c r="AQ98" s="89"/>
      <c r="AR98" s="89"/>
    </row>
    <row r="99" spans="1:44" x14ac:dyDescent="0.2">
      <c r="A99" s="165"/>
      <c r="B99" s="185"/>
      <c r="C99" s="340" t="str">
        <f>IF(ctArbeitsgebiete!H25&lt;&gt;"",ctArbeitsgebiete!H25,"")</f>
        <v/>
      </c>
      <c r="D99" s="334"/>
      <c r="E99" s="944"/>
      <c r="F99" s="945"/>
      <c r="G99" s="945"/>
      <c r="H99" s="945"/>
      <c r="I99" s="945"/>
      <c r="J99" s="945"/>
      <c r="K99" s="945"/>
      <c r="L99" s="945"/>
      <c r="M99" s="945"/>
      <c r="N99" s="945"/>
      <c r="O99" s="945"/>
      <c r="P99" s="945"/>
      <c r="Q99" s="945"/>
      <c r="R99" s="945"/>
      <c r="S99" s="945"/>
      <c r="T99" s="945"/>
      <c r="U99" s="945"/>
      <c r="V99" s="945"/>
      <c r="W99" s="945"/>
      <c r="X99" s="945"/>
      <c r="Y99" s="945"/>
      <c r="Z99" s="945"/>
      <c r="AA99" s="945"/>
      <c r="AB99" s="945"/>
      <c r="AC99" s="945"/>
      <c r="AD99" s="945"/>
      <c r="AE99" s="945"/>
      <c r="AF99" s="945"/>
      <c r="AG99" s="945"/>
      <c r="AH99" s="945"/>
      <c r="AI99" s="946"/>
      <c r="AJ99" s="338">
        <f t="shared" si="15"/>
        <v>0</v>
      </c>
      <c r="AK99" s="152"/>
      <c r="AL99" s="113"/>
      <c r="AM99" s="89"/>
      <c r="AN99" s="89"/>
      <c r="AO99" s="89"/>
      <c r="AP99" s="89"/>
      <c r="AQ99" s="89"/>
      <c r="AR99" s="89"/>
    </row>
    <row r="100" spans="1:44" x14ac:dyDescent="0.2">
      <c r="A100" s="165"/>
      <c r="B100" s="185"/>
      <c r="C100" s="340" t="str">
        <f>IF(ctArbeitsgebiete!H26&lt;&gt;"",ctArbeitsgebiete!H26,"")</f>
        <v/>
      </c>
      <c r="D100" s="334"/>
      <c r="E100" s="944"/>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B100" s="945"/>
      <c r="AC100" s="945"/>
      <c r="AD100" s="945"/>
      <c r="AE100" s="945"/>
      <c r="AF100" s="945"/>
      <c r="AG100" s="945"/>
      <c r="AH100" s="945"/>
      <c r="AI100" s="946"/>
      <c r="AJ100" s="338">
        <f t="shared" si="15"/>
        <v>0</v>
      </c>
      <c r="AK100" s="152"/>
      <c r="AL100" s="113"/>
      <c r="AM100" s="89"/>
      <c r="AN100" s="89"/>
      <c r="AO100" s="89"/>
      <c r="AP100" s="89"/>
      <c r="AQ100" s="89"/>
      <c r="AR100" s="89"/>
    </row>
    <row r="101" spans="1:44" x14ac:dyDescent="0.2">
      <c r="A101" s="165"/>
      <c r="B101" s="185"/>
      <c r="C101" s="345" t="str">
        <f>IF(ctArbeitsgebiete!H27&lt;&gt;"",ctArbeitsgebiete!H27,"")</f>
        <v/>
      </c>
      <c r="D101" s="346"/>
      <c r="E101" s="947"/>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9"/>
      <c r="AJ101" s="347">
        <f t="shared" si="15"/>
        <v>0</v>
      </c>
      <c r="AK101" s="152"/>
      <c r="AL101" s="113"/>
      <c r="AM101" s="89"/>
      <c r="AN101" s="89"/>
      <c r="AO101" s="89"/>
      <c r="AP101" s="89"/>
      <c r="AQ101" s="89"/>
      <c r="AR101" s="89"/>
    </row>
    <row r="102" spans="1:44" x14ac:dyDescent="0.2">
      <c r="A102" s="165"/>
      <c r="B102" s="185"/>
      <c r="C102" s="992" t="str">
        <f>IF(ctArbeitsgebiete!E24&lt;&gt;"",ctArbeitsgebiete!E24,"")</f>
        <v/>
      </c>
      <c r="D102" s="1083"/>
      <c r="E102" s="1084"/>
      <c r="F102" s="1085"/>
      <c r="G102" s="1085"/>
      <c r="H102" s="1085"/>
      <c r="I102" s="1085"/>
      <c r="J102" s="1085"/>
      <c r="K102" s="1085"/>
      <c r="L102" s="1085"/>
      <c r="M102" s="1085"/>
      <c r="N102" s="1085"/>
      <c r="O102" s="1085"/>
      <c r="P102" s="1085"/>
      <c r="Q102" s="1085"/>
      <c r="R102" s="1085"/>
      <c r="S102" s="1085"/>
      <c r="T102" s="1085"/>
      <c r="U102" s="1085"/>
      <c r="V102" s="1085"/>
      <c r="W102" s="1085"/>
      <c r="X102" s="1085"/>
      <c r="Y102" s="1085"/>
      <c r="Z102" s="1085"/>
      <c r="AA102" s="1085"/>
      <c r="AB102" s="1085"/>
      <c r="AC102" s="1085"/>
      <c r="AD102" s="1085"/>
      <c r="AE102" s="1085"/>
      <c r="AF102" s="1085"/>
      <c r="AG102" s="1085"/>
      <c r="AH102" s="1085"/>
      <c r="AI102" s="1086"/>
      <c r="AJ102" s="1087">
        <f t="shared" si="15"/>
        <v>0</v>
      </c>
      <c r="AK102" s="152"/>
      <c r="AL102" s="113"/>
      <c r="AM102" s="89"/>
      <c r="AN102" s="89"/>
      <c r="AO102" s="89"/>
      <c r="AP102" s="89"/>
      <c r="AQ102" s="89"/>
      <c r="AR102" s="89"/>
    </row>
    <row r="103" spans="1:44" x14ac:dyDescent="0.2">
      <c r="A103" s="165"/>
      <c r="B103" s="185"/>
      <c r="C103" s="342" t="str">
        <f>IF(ctArbeitsgebiete!E25&lt;&gt;"",ctArbeitsgebiete!E25,"")</f>
        <v/>
      </c>
      <c r="D103" s="341"/>
      <c r="E103" s="944"/>
      <c r="F103" s="945"/>
      <c r="G103" s="945"/>
      <c r="H103" s="945"/>
      <c r="I103" s="945"/>
      <c r="J103" s="945"/>
      <c r="K103" s="945"/>
      <c r="L103" s="945"/>
      <c r="M103" s="945"/>
      <c r="N103" s="945"/>
      <c r="O103" s="945"/>
      <c r="P103" s="945"/>
      <c r="Q103" s="945"/>
      <c r="R103" s="945"/>
      <c r="S103" s="945"/>
      <c r="T103" s="945"/>
      <c r="U103" s="945"/>
      <c r="V103" s="945"/>
      <c r="W103" s="945"/>
      <c r="X103" s="945"/>
      <c r="Y103" s="945"/>
      <c r="Z103" s="945"/>
      <c r="AA103" s="945"/>
      <c r="AB103" s="945"/>
      <c r="AC103" s="945"/>
      <c r="AD103" s="945"/>
      <c r="AE103" s="945"/>
      <c r="AF103" s="945"/>
      <c r="AG103" s="945"/>
      <c r="AH103" s="945"/>
      <c r="AI103" s="946"/>
      <c r="AJ103" s="343">
        <f t="shared" si="15"/>
        <v>0</v>
      </c>
      <c r="AK103" s="152"/>
      <c r="AL103" s="113"/>
      <c r="AM103" s="89"/>
      <c r="AN103" s="89"/>
      <c r="AO103" s="89"/>
      <c r="AP103" s="89"/>
      <c r="AQ103" s="89"/>
      <c r="AR103" s="89"/>
    </row>
    <row r="104" spans="1:44" x14ac:dyDescent="0.2">
      <c r="A104" s="165"/>
      <c r="B104" s="185"/>
      <c r="C104" s="342" t="str">
        <f>IF(ctArbeitsgebiete!E26&lt;&gt;"",ctArbeitsgebiete!E26,"")</f>
        <v/>
      </c>
      <c r="D104" s="341"/>
      <c r="E104" s="944"/>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B104" s="945"/>
      <c r="AC104" s="945"/>
      <c r="AD104" s="945"/>
      <c r="AE104" s="945"/>
      <c r="AF104" s="945"/>
      <c r="AG104" s="945"/>
      <c r="AH104" s="945"/>
      <c r="AI104" s="946"/>
      <c r="AJ104" s="343">
        <f t="shared" si="15"/>
        <v>0</v>
      </c>
      <c r="AK104" s="152"/>
      <c r="AL104" s="113"/>
      <c r="AM104" s="89"/>
      <c r="AN104" s="89"/>
      <c r="AO104" s="89"/>
      <c r="AP104" s="89"/>
      <c r="AQ104" s="89"/>
      <c r="AR104" s="89"/>
    </row>
    <row r="105" spans="1:44" ht="13.5" thickBot="1" x14ac:dyDescent="0.25">
      <c r="A105" s="165"/>
      <c r="B105" s="185"/>
      <c r="C105" s="342" t="str">
        <f>IF(ctArbeitsgebiete!E27&lt;&gt;"",ctArbeitsgebiete!E27,"")</f>
        <v/>
      </c>
      <c r="D105" s="341"/>
      <c r="E105" s="950"/>
      <c r="F105" s="951"/>
      <c r="G105" s="951"/>
      <c r="H105" s="951"/>
      <c r="I105" s="951"/>
      <c r="J105" s="951"/>
      <c r="K105" s="951"/>
      <c r="L105" s="951"/>
      <c r="M105" s="951"/>
      <c r="N105" s="951"/>
      <c r="O105" s="951"/>
      <c r="P105" s="951"/>
      <c r="Q105" s="951"/>
      <c r="R105" s="951"/>
      <c r="S105" s="951"/>
      <c r="T105" s="951"/>
      <c r="U105" s="951"/>
      <c r="V105" s="951"/>
      <c r="W105" s="951"/>
      <c r="X105" s="951"/>
      <c r="Y105" s="951"/>
      <c r="Z105" s="951"/>
      <c r="AA105" s="951"/>
      <c r="AB105" s="951"/>
      <c r="AC105" s="951"/>
      <c r="AD105" s="951"/>
      <c r="AE105" s="951"/>
      <c r="AF105" s="951"/>
      <c r="AG105" s="951"/>
      <c r="AH105" s="951"/>
      <c r="AI105" s="952"/>
      <c r="AJ105" s="344">
        <f t="shared" si="15"/>
        <v>0</v>
      </c>
      <c r="AK105" s="152"/>
      <c r="AL105" s="113"/>
      <c r="AM105" s="89"/>
      <c r="AN105" s="89"/>
      <c r="AO105" s="89"/>
      <c r="AP105" s="89"/>
      <c r="AQ105" s="89"/>
      <c r="AR105" s="89"/>
    </row>
    <row r="106" spans="1:44" s="218" customFormat="1" ht="63.75" collapsed="1" x14ac:dyDescent="0.2">
      <c r="C106" s="219" t="s">
        <v>444</v>
      </c>
      <c r="D106" s="220"/>
      <c r="E106" s="335"/>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6"/>
      <c r="AF106" s="336"/>
      <c r="AG106" s="336"/>
      <c r="AH106" s="336"/>
      <c r="AI106" s="337"/>
      <c r="AJ106" s="339">
        <f>SUM(E106:AI106)</f>
        <v>0</v>
      </c>
      <c r="AL106" s="222"/>
    </row>
  </sheetData>
  <sheetProtection algorithmName="SHA-512" hashValue="fnboM2jyv0qNI8QkHK9yZEVYMoPZOR9ya47yEEbYJb05is+c6KL7NUWuATh6oUkD6vm16crcnANXqjlq1E2syQ==" saltValue="36yKHJS/M06QAMFDBPLGug==" spinCount="100000" sheet="1" selectLockedCells="1"/>
  <mergeCells count="1">
    <mergeCell ref="D3:D4"/>
  </mergeCells>
  <phoneticPr fontId="9" type="noConversion"/>
  <conditionalFormatting sqref="E3:AH4">
    <cfRule type="expression" dxfId="148" priority="100" stopIfTrue="1">
      <formula>WEEKDAY(E$3,2)=7</formula>
    </cfRule>
  </conditionalFormatting>
  <conditionalFormatting sqref="E7:AH7">
    <cfRule type="expression" dxfId="147" priority="1" stopIfTrue="1">
      <formula>WEEKDAY(E$3,2)=6</formula>
    </cfRule>
    <cfRule type="expression" dxfId="146" priority="2" stopIfTrue="1">
      <formula>WEEKDAY(E$3,2)=7</formula>
    </cfRule>
  </conditionalFormatting>
  <conditionalFormatting sqref="E8:AH8 E10:AH10 E12:AH12">
    <cfRule type="expression" dxfId="145" priority="97" stopIfTrue="1">
      <formula>WEEKDAY(E$3,2)=6</formula>
    </cfRule>
    <cfRule type="expression" dxfId="144" priority="98" stopIfTrue="1">
      <formula>WEEKDAY(E$3,2)=7</formula>
    </cfRule>
  </conditionalFormatting>
  <conditionalFormatting sqref="E9:AH9 E11:AH11">
    <cfRule type="expression" dxfId="143" priority="95" stopIfTrue="1">
      <formula>WEEKDAY(E$3,2)=6</formula>
    </cfRule>
    <cfRule type="expression" dxfId="142" priority="96" stopIfTrue="1">
      <formula>WEEKDAY(E$3,2)=7</formula>
    </cfRule>
  </conditionalFormatting>
  <conditionalFormatting sqref="E3:AI4">
    <cfRule type="expression" dxfId="141" priority="99" stopIfTrue="1">
      <formula>WEEKDAY(E$3,2)=6</formula>
    </cfRule>
  </conditionalFormatting>
  <conditionalFormatting sqref="E13:AI18">
    <cfRule type="expression" dxfId="140" priority="101" stopIfTrue="1">
      <formula>WEEKDAY(E$3,2)=6</formula>
    </cfRule>
    <cfRule type="expression" dxfId="139" priority="102" stopIfTrue="1">
      <formula>WEEKDAY(E$3,2)=7</formula>
    </cfRule>
  </conditionalFormatting>
  <conditionalFormatting sqref="E19:AI19">
    <cfRule type="expression" dxfId="138" priority="103" stopIfTrue="1">
      <formula>WEEKDAY(E$3,2)=6</formula>
    </cfRule>
    <cfRule type="expression" dxfId="137" priority="104" stopIfTrue="1">
      <formula>WEEKDAY(E$3,2)=7</formula>
    </cfRule>
  </conditionalFormatting>
  <conditionalFormatting sqref="E20:AI20 E39:AI39">
    <cfRule type="expression" dxfId="136" priority="91" stopIfTrue="1">
      <formula>WEEKDAY(E$3,2)=6</formula>
    </cfRule>
    <cfRule type="expression" dxfId="135" priority="92" stopIfTrue="1">
      <formula>WEEKDAY(E$3,2)=7</formula>
    </cfRule>
  </conditionalFormatting>
  <conditionalFormatting sqref="E21:AI21 E33:AI38">
    <cfRule type="expression" dxfId="134" priority="89" stopIfTrue="1">
      <formula>WEEKDAY(E$3,2)=6</formula>
    </cfRule>
    <cfRule type="expression" dxfId="133" priority="90" stopIfTrue="1">
      <formula>WEEKDAY(E$3,2)=7</formula>
    </cfRule>
  </conditionalFormatting>
  <conditionalFormatting sqref="E22:AI32 E41:AI85 E94:AI106">
    <cfRule type="expression" dxfId="132" priority="93" stopIfTrue="1">
      <formula>WEEKDAY(E$3,2)=6</formula>
    </cfRule>
    <cfRule type="expression" dxfId="131" priority="94" stopIfTrue="1">
      <formula>WEEKDAY(E$3,2)=7</formula>
    </cfRule>
  </conditionalFormatting>
  <conditionalFormatting sqref="E40:AI40">
    <cfRule type="cellIs" dxfId="130" priority="105" stopIfTrue="1" operator="notEqual">
      <formula>0</formula>
    </cfRule>
    <cfRule type="expression" dxfId="129" priority="106" stopIfTrue="1">
      <formula>WEEKDAY(E$3,2)=6</formula>
    </cfRule>
    <cfRule type="expression" dxfId="128" priority="107" stopIfTrue="1">
      <formula>WEEKDAY(E$3,2)=7</formula>
    </cfRule>
  </conditionalFormatting>
  <conditionalFormatting sqref="AI3:AI4">
    <cfRule type="expression" dxfId="127" priority="111" stopIfTrue="1">
      <formula>WEEKDAY(AI$3,2)=7</formula>
    </cfRule>
  </conditionalFormatting>
  <conditionalFormatting sqref="AI7:AI12">
    <cfRule type="expression" dxfId="126" priority="41" stopIfTrue="1">
      <formula>WEEKDAY(AI$3,2)=6</formula>
    </cfRule>
    <cfRule type="expression" dxfId="125" priority="42" stopIfTrue="1">
      <formula>WEEKDAY(AI$3,2)=7</formula>
    </cfRule>
  </conditionalFormatting>
  <printOptions horizontalCentered="1" verticalCentered="1"/>
  <pageMargins left="0.19685039370078741" right="0.19685039370078741" top="0.39370078740157483" bottom="0.19685039370078741" header="0.31496062992125984" footer="0.19685039370078741"/>
  <pageSetup paperSize="9" scale="53" orientation="landscape"/>
  <headerFooter>
    <oddHeader>&amp;C&amp;12Monatsabrechnung   &amp;A</oddHead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J32"/>
  <sheetViews>
    <sheetView showGridLines="0" showRowColHeaders="0" tabSelected="1" showOutlineSymbols="0" workbookViewId="0">
      <pane ySplit="1" topLeftCell="A2" activePane="bottomLeft" state="frozen"/>
      <selection pane="bottomLeft"/>
    </sheetView>
  </sheetViews>
  <sheetFormatPr baseColWidth="10" defaultColWidth="11.42578125" defaultRowHeight="12.75" x14ac:dyDescent="0.2"/>
  <cols>
    <col min="1" max="1" width="11.42578125" style="8"/>
    <col min="2" max="2" width="15.7109375" style="8" customWidth="1"/>
    <col min="3" max="3" width="5.7109375" style="8" customWidth="1"/>
    <col min="4" max="4" width="15.7109375" style="8" customWidth="1"/>
    <col min="5" max="5" width="5.7109375" style="8" customWidth="1"/>
    <col min="6" max="6" width="15.7109375" style="8" customWidth="1"/>
    <col min="7" max="7" width="5.7109375" style="8" customWidth="1"/>
    <col min="8" max="8" width="15.7109375" style="8" customWidth="1"/>
    <col min="9" max="16384" width="11.42578125" style="8"/>
  </cols>
  <sheetData>
    <row r="1" spans="1:10" s="33" customFormat="1" ht="20.25" x14ac:dyDescent="0.3">
      <c r="A1" s="353"/>
      <c r="B1" s="32" t="s">
        <v>0</v>
      </c>
    </row>
    <row r="3" spans="1:10" ht="3.75" customHeight="1" x14ac:dyDescent="0.2"/>
    <row r="4" spans="1:10" s="13" customFormat="1" ht="18" customHeight="1" x14ac:dyDescent="0.2">
      <c r="B4" s="8"/>
      <c r="D4" s="711" t="s">
        <v>1</v>
      </c>
      <c r="E4" s="8"/>
    </row>
    <row r="5" spans="1:10" s="13" customFormat="1" ht="9.75" customHeight="1" x14ac:dyDescent="0.2">
      <c r="I5" s="60"/>
    </row>
    <row r="6" spans="1:10" s="13" customFormat="1" ht="18" customHeight="1" x14ac:dyDescent="0.2">
      <c r="B6" s="8"/>
      <c r="D6" s="8" t="s">
        <v>2</v>
      </c>
      <c r="E6" s="8"/>
    </row>
    <row r="7" spans="1:10" s="13" customFormat="1" ht="9.75" customHeight="1" x14ac:dyDescent="0.2"/>
    <row r="8" spans="1:10" s="13" customFormat="1" ht="18" customHeight="1" x14ac:dyDescent="0.2">
      <c r="B8" s="8"/>
      <c r="D8" s="8" t="s">
        <v>3</v>
      </c>
      <c r="E8" s="8"/>
      <c r="H8" s="61"/>
      <c r="I8" s="209"/>
    </row>
    <row r="9" spans="1:10" s="13" customFormat="1" ht="9.75" customHeight="1" x14ac:dyDescent="0.2"/>
    <row r="10" spans="1:10" s="13" customFormat="1" ht="18" customHeight="1" x14ac:dyDescent="0.2">
      <c r="B10" s="8"/>
      <c r="D10" s="8" t="s">
        <v>4</v>
      </c>
      <c r="E10" s="8"/>
    </row>
    <row r="11" spans="1:10" s="13" customFormat="1" x14ac:dyDescent="0.2"/>
    <row r="12" spans="1:10" s="13" customFormat="1" x14ac:dyDescent="0.2">
      <c r="B12" s="712" t="s">
        <v>5</v>
      </c>
    </row>
    <row r="13" spans="1:10" s="13" customFormat="1" x14ac:dyDescent="0.2"/>
    <row r="14" spans="1:10" s="13" customFormat="1" ht="18" customHeight="1" x14ac:dyDescent="0.2">
      <c r="B14" s="8"/>
      <c r="D14" s="8"/>
      <c r="F14" s="8"/>
      <c r="H14" s="8"/>
      <c r="J14" s="13" t="s">
        <v>6</v>
      </c>
    </row>
    <row r="15" spans="1:10" s="13" customFormat="1" ht="9.75" customHeight="1" x14ac:dyDescent="0.2"/>
    <row r="16" spans="1:10" s="13" customFormat="1" ht="18" customHeight="1" x14ac:dyDescent="0.2">
      <c r="B16" s="8"/>
      <c r="D16" s="8"/>
      <c r="F16" s="8"/>
      <c r="H16" s="8"/>
    </row>
    <row r="17" spans="2:8" s="13" customFormat="1" ht="9.75" customHeight="1" x14ac:dyDescent="0.2"/>
    <row r="18" spans="2:8" s="13" customFormat="1" ht="18" customHeight="1" x14ac:dyDescent="0.2">
      <c r="B18" s="8"/>
      <c r="D18" s="8"/>
      <c r="F18" s="8"/>
      <c r="H18" s="8"/>
    </row>
    <row r="19" spans="2:8" s="13" customFormat="1" x14ac:dyDescent="0.2"/>
    <row r="20" spans="2:8" s="13" customFormat="1" x14ac:dyDescent="0.2">
      <c r="B20" s="712" t="s">
        <v>7</v>
      </c>
    </row>
    <row r="21" spans="2:8" s="13" customFormat="1" x14ac:dyDescent="0.2"/>
    <row r="22" spans="2:8" s="13" customFormat="1" ht="18" customHeight="1" x14ac:dyDescent="0.2">
      <c r="B22" s="8"/>
      <c r="D22" s="209" t="s">
        <v>8</v>
      </c>
      <c r="E22" s="209"/>
      <c r="F22" s="209"/>
      <c r="G22" s="209"/>
      <c r="H22" s="209"/>
    </row>
    <row r="23" spans="2:8" s="13" customFormat="1" ht="9.75" customHeight="1" x14ac:dyDescent="0.2"/>
    <row r="24" spans="2:8" s="13" customFormat="1" ht="18" customHeight="1" x14ac:dyDescent="0.2">
      <c r="B24" s="8"/>
      <c r="D24" s="209" t="s">
        <v>9</v>
      </c>
      <c r="E24" s="209"/>
      <c r="F24" s="209"/>
      <c r="G24" s="209"/>
      <c r="H24" s="209"/>
    </row>
    <row r="25" spans="2:8" s="13" customFormat="1" ht="9.75" customHeight="1" x14ac:dyDescent="0.2">
      <c r="C25" s="209"/>
      <c r="D25" s="209"/>
      <c r="E25" s="209"/>
      <c r="F25" s="209"/>
      <c r="G25" s="209"/>
      <c r="H25" s="209"/>
    </row>
    <row r="26" spans="2:8" s="13" customFormat="1" ht="18" customHeight="1" x14ac:dyDescent="0.2">
      <c r="B26" s="8"/>
      <c r="D26" s="209" t="s">
        <v>10</v>
      </c>
      <c r="E26" s="209"/>
      <c r="F26" s="209"/>
      <c r="G26" s="209"/>
      <c r="H26" s="209"/>
    </row>
    <row r="27" spans="2:8" s="13" customFormat="1" ht="9.75" customHeight="1" x14ac:dyDescent="0.2">
      <c r="C27" s="209"/>
      <c r="D27" s="209"/>
      <c r="E27" s="209"/>
      <c r="F27" s="209"/>
      <c r="G27" s="209"/>
      <c r="H27" s="209"/>
    </row>
    <row r="28" spans="2:8" s="13" customFormat="1" ht="18" customHeight="1" x14ac:dyDescent="0.2">
      <c r="B28" s="8"/>
      <c r="D28" s="209" t="s">
        <v>11</v>
      </c>
      <c r="E28" s="209"/>
      <c r="F28" s="209"/>
      <c r="G28" s="209"/>
      <c r="H28" s="209"/>
    </row>
    <row r="29" spans="2:8" s="13" customFormat="1" ht="9.75" customHeight="1" x14ac:dyDescent="0.2">
      <c r="C29" s="209"/>
      <c r="D29" s="209"/>
      <c r="E29" s="209"/>
      <c r="F29" s="209"/>
      <c r="G29" s="209"/>
      <c r="H29" s="209"/>
    </row>
    <row r="30" spans="2:8" s="13" customFormat="1" ht="18" customHeight="1" x14ac:dyDescent="0.2">
      <c r="B30" s="8"/>
      <c r="D30" s="209" t="s">
        <v>12</v>
      </c>
      <c r="E30" s="209"/>
      <c r="F30" s="209"/>
      <c r="G30" s="209"/>
      <c r="H30" s="209"/>
    </row>
    <row r="31" spans="2:8" s="13" customFormat="1" ht="9.75" customHeight="1" x14ac:dyDescent="0.2">
      <c r="C31" s="209"/>
      <c r="D31" s="209"/>
      <c r="E31" s="209"/>
      <c r="F31" s="209"/>
      <c r="G31" s="209"/>
      <c r="H31" s="209"/>
    </row>
    <row r="32" spans="2:8" ht="18" customHeight="1" x14ac:dyDescent="0.2">
      <c r="D32" s="209" t="s">
        <v>13</v>
      </c>
    </row>
  </sheetData>
  <sheetProtection algorithmName="SHA-512" hashValue="5wT3Em21GLtMELb54hRLlEJtRwRDYZaLSCKQgXnSwK3CKbsYgkszpJcXLyphDUZaHyfadluSOQ5OZvgM6+im6Q==" saltValue="gU3tCO+R1/xoV7XZa6KT9w==" spinCount="100000" sheet="1" selectLockedCells="1"/>
  <phoneticPr fontId="9" type="noConversion"/>
  <pageMargins left="0.70000000000000007" right="0.70000000000000007" top="0.79000000000000015" bottom="0.79000000000000015" header="0.30000000000000004" footer="0.30000000000000004"/>
  <pageSetup paperSize="9" scale="89" orientation="landscape"/>
  <drawing r:id="rId1"/>
  <extLst>
    <ext xmlns:mx="http://schemas.microsoft.com/office/mac/excel/2008/main" uri="{64002731-A6B0-56B0-2670-7721B7C09600}">
      <mx:PLV Mode="0" OnePage="0" WScale="10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0">
    <pageSetUpPr fitToPage="1"/>
  </sheetPr>
  <dimension ref="A1:AT106"/>
  <sheetViews>
    <sheetView showGridLines="0" showRowColHeaders="0" showZeros="0" showOutlineSymbols="0" topLeftCell="C2" zoomScale="80" zoomScaleNormal="80" workbookViewId="0">
      <pane xSplit="2" ySplit="39" topLeftCell="E41" activePane="bottomRight" state="frozen"/>
      <selection pane="topRight"/>
      <selection pane="bottomLeft"/>
      <selection pane="bottomRight" activeCell="E7" sqref="E7"/>
    </sheetView>
  </sheetViews>
  <sheetFormatPr baseColWidth="10" defaultColWidth="11.42578125" defaultRowHeight="12.75" outlineLevelRow="2" outlineLevelCol="1" x14ac:dyDescent="0.2"/>
  <cols>
    <col min="1" max="1" width="11.42578125" style="8" hidden="1" customWidth="1" outlineLevel="1"/>
    <col min="2" max="2" width="8.42578125" style="13" hidden="1" customWidth="1" outlineLevel="1"/>
    <col min="3" max="3" width="22.42578125" style="87" customWidth="1" collapsed="1"/>
    <col min="4" max="4" width="7.85546875" style="13" customWidth="1"/>
    <col min="5" max="35" width="7.42578125" style="13" customWidth="1"/>
    <col min="36" max="36" width="7.42578125" style="209" customWidth="1"/>
    <col min="37" max="37" width="7.7109375" style="13" hidden="1" customWidth="1" outlineLevel="1"/>
    <col min="38" max="38" width="15.7109375" style="182" hidden="1" customWidth="1" outlineLevel="1"/>
    <col min="39" max="40" width="0" style="8" hidden="1" customWidth="1" outlineLevel="1"/>
    <col min="41" max="41" width="26.7109375" style="8" hidden="1" customWidth="1" outlineLevel="1"/>
    <col min="42" max="44" width="0" style="8" hidden="1" customWidth="1" outlineLevel="1"/>
    <col min="45" max="45" width="11.42578125" style="8" collapsed="1"/>
    <col min="46" max="16384" width="11.42578125" style="8"/>
  </cols>
  <sheetData>
    <row r="1" spans="2:46" ht="30" hidden="1" customHeight="1" outlineLevel="1" thickBot="1" x14ac:dyDescent="0.25">
      <c r="AF1" s="8"/>
      <c r="AJ1" s="88"/>
      <c r="AK1" s="89"/>
      <c r="AL1" s="90" t="s">
        <v>406</v>
      </c>
      <c r="AM1" s="91" t="s">
        <v>407</v>
      </c>
      <c r="AN1" s="89"/>
      <c r="AO1" s="89"/>
      <c r="AP1" s="89"/>
      <c r="AQ1" s="89"/>
      <c r="AR1" s="89"/>
    </row>
    <row r="2" spans="2:46" ht="30" customHeight="1" collapsed="1" thickBot="1" x14ac:dyDescent="0.25">
      <c r="C2" s="92">
        <f>DATEVALUE("1.8."&amp;YEAR(ctPersonalangaben!H12))</f>
        <v>44773</v>
      </c>
      <c r="D2" s="93">
        <f>YEAR(ctPersonalangaben!H12)</f>
        <v>2026</v>
      </c>
      <c r="E2" s="897" t="str">
        <f>CONCATENATE("Arbeitszeit-Eingabe von ",Mitarbeiter)</f>
        <v>Arbeitszeit-Eingabe von Max Muster, Musterstelle</v>
      </c>
      <c r="F2" s="6"/>
      <c r="G2" s="6"/>
      <c r="H2" s="6"/>
      <c r="I2" s="94"/>
      <c r="J2" s="6"/>
      <c r="K2" s="6"/>
      <c r="L2" s="6"/>
      <c r="M2" s="6"/>
      <c r="N2" s="6"/>
      <c r="O2" s="6"/>
      <c r="P2" s="6"/>
      <c r="Q2" s="6"/>
      <c r="R2" s="6"/>
      <c r="S2" s="95"/>
      <c r="T2" s="96"/>
      <c r="U2" s="96"/>
      <c r="V2" s="97"/>
      <c r="W2" s="97"/>
      <c r="X2" s="97"/>
      <c r="Y2" s="97"/>
      <c r="Z2" s="97"/>
      <c r="AA2" s="97"/>
      <c r="AB2" s="97"/>
      <c r="AC2" s="97"/>
      <c r="AD2" s="98"/>
      <c r="AE2" s="97"/>
      <c r="AF2" s="99"/>
      <c r="AG2" s="100" t="s">
        <v>408</v>
      </c>
      <c r="AH2" s="99">
        <f>VLOOKUP(DATE($D$2,MONTH($C$2),$E$4),Ferienanspruch,3,TRUE)</f>
        <v>100</v>
      </c>
      <c r="AI2" s="101" t="s">
        <v>106</v>
      </c>
      <c r="AJ2" s="88"/>
      <c r="AK2" s="102"/>
      <c r="AL2" s="91"/>
      <c r="AM2" s="91" t="s">
        <v>409</v>
      </c>
      <c r="AN2" s="89"/>
      <c r="AO2" s="89"/>
      <c r="AP2" s="89"/>
      <c r="AQ2" s="89"/>
      <c r="AR2" s="89"/>
    </row>
    <row r="3" spans="2:46" x14ac:dyDescent="0.2">
      <c r="C3" s="7"/>
      <c r="D3" s="1254" t="s">
        <v>254</v>
      </c>
      <c r="E3" s="226">
        <f t="shared" ref="E3:AF3" si="0">DATE($D$2,MONTH($C$2),E$4)</f>
        <v>44773</v>
      </c>
      <c r="F3" s="103">
        <f t="shared" si="0"/>
        <v>44774</v>
      </c>
      <c r="G3" s="103">
        <f t="shared" si="0"/>
        <v>44775</v>
      </c>
      <c r="H3" s="103">
        <f t="shared" si="0"/>
        <v>44776</v>
      </c>
      <c r="I3" s="226">
        <f t="shared" si="0"/>
        <v>44777</v>
      </c>
      <c r="J3" s="103">
        <f t="shared" si="0"/>
        <v>44778</v>
      </c>
      <c r="K3" s="103">
        <f t="shared" si="0"/>
        <v>44779</v>
      </c>
      <c r="L3" s="103">
        <f t="shared" si="0"/>
        <v>44780</v>
      </c>
      <c r="M3" s="103">
        <f t="shared" si="0"/>
        <v>44781</v>
      </c>
      <c r="N3" s="103">
        <f t="shared" si="0"/>
        <v>44782</v>
      </c>
      <c r="O3" s="103">
        <f t="shared" si="0"/>
        <v>44783</v>
      </c>
      <c r="P3" s="103">
        <f t="shared" si="0"/>
        <v>44784</v>
      </c>
      <c r="Q3" s="103">
        <f t="shared" si="0"/>
        <v>44785</v>
      </c>
      <c r="R3" s="103">
        <f t="shared" si="0"/>
        <v>44786</v>
      </c>
      <c r="S3" s="103">
        <f t="shared" si="0"/>
        <v>44787</v>
      </c>
      <c r="T3" s="103">
        <f t="shared" si="0"/>
        <v>44788</v>
      </c>
      <c r="U3" s="103">
        <f t="shared" si="0"/>
        <v>44789</v>
      </c>
      <c r="V3" s="103">
        <f t="shared" si="0"/>
        <v>44790</v>
      </c>
      <c r="W3" s="103">
        <f t="shared" si="0"/>
        <v>44791</v>
      </c>
      <c r="X3" s="103">
        <f t="shared" si="0"/>
        <v>44792</v>
      </c>
      <c r="Y3" s="103">
        <f t="shared" si="0"/>
        <v>44793</v>
      </c>
      <c r="Z3" s="103">
        <f t="shared" si="0"/>
        <v>44794</v>
      </c>
      <c r="AA3" s="103">
        <f t="shared" si="0"/>
        <v>44795</v>
      </c>
      <c r="AB3" s="103">
        <f t="shared" si="0"/>
        <v>44796</v>
      </c>
      <c r="AC3" s="103">
        <f t="shared" si="0"/>
        <v>44797</v>
      </c>
      <c r="AD3" s="104">
        <f t="shared" si="0"/>
        <v>44798</v>
      </c>
      <c r="AE3" s="104">
        <f t="shared" si="0"/>
        <v>44799</v>
      </c>
      <c r="AF3" s="104">
        <f t="shared" si="0"/>
        <v>44800</v>
      </c>
      <c r="AG3" s="104">
        <f>IF(MONTH($C2+AG$5) = MONTH($C2),DATE($D$2,MONTH($C$2),AG$5+1),"")</f>
        <v>44801</v>
      </c>
      <c r="AH3" s="104">
        <f>IF(MONTH($C2+AH$5) = MONTH($C2),DATE($D$2,MONTH($C$2),AH$5+1),"")</f>
        <v>44802</v>
      </c>
      <c r="AI3" s="105">
        <f>IF(MONTH($C2+AI$5) = MONTH($C2),DATE($D$2,MONTH($C$2),AI$5+1),"")</f>
        <v>44803</v>
      </c>
      <c r="AJ3" s="88"/>
      <c r="AK3" s="106"/>
      <c r="AL3" s="91"/>
      <c r="AM3" s="91"/>
      <c r="AN3" s="89"/>
      <c r="AO3" s="89"/>
      <c r="AP3" s="89"/>
      <c r="AQ3" s="89"/>
      <c r="AR3" s="89"/>
    </row>
    <row r="4" spans="2:46" ht="19.5" customHeight="1" x14ac:dyDescent="0.2">
      <c r="C4" s="13"/>
      <c r="D4" s="1255"/>
      <c r="E4" s="227">
        <v>1</v>
      </c>
      <c r="F4" s="107">
        <v>2</v>
      </c>
      <c r="G4" s="107">
        <v>3</v>
      </c>
      <c r="H4" s="107">
        <v>4</v>
      </c>
      <c r="I4" s="227">
        <v>5</v>
      </c>
      <c r="J4" s="107">
        <v>6</v>
      </c>
      <c r="K4" s="107">
        <v>7</v>
      </c>
      <c r="L4" s="107">
        <v>8</v>
      </c>
      <c r="M4" s="107">
        <v>9</v>
      </c>
      <c r="N4" s="107">
        <v>10</v>
      </c>
      <c r="O4" s="107">
        <v>11</v>
      </c>
      <c r="P4" s="107">
        <v>12</v>
      </c>
      <c r="Q4" s="107">
        <v>13</v>
      </c>
      <c r="R4" s="107">
        <v>14</v>
      </c>
      <c r="S4" s="107">
        <v>15</v>
      </c>
      <c r="T4" s="107">
        <v>16</v>
      </c>
      <c r="U4" s="107">
        <v>17</v>
      </c>
      <c r="V4" s="107">
        <v>18</v>
      </c>
      <c r="W4" s="107">
        <v>19</v>
      </c>
      <c r="X4" s="107">
        <v>20</v>
      </c>
      <c r="Y4" s="107">
        <v>21</v>
      </c>
      <c r="Z4" s="107">
        <v>22</v>
      </c>
      <c r="AA4" s="107">
        <v>23</v>
      </c>
      <c r="AB4" s="107">
        <v>24</v>
      </c>
      <c r="AC4" s="107">
        <v>25</v>
      </c>
      <c r="AD4" s="107">
        <v>26</v>
      </c>
      <c r="AE4" s="107">
        <v>27</v>
      </c>
      <c r="AF4" s="107">
        <v>28</v>
      </c>
      <c r="AG4" s="107">
        <f>IF(MONTH($C2+AG5) = MONTH($C2),AG$5+1,"")</f>
        <v>29</v>
      </c>
      <c r="AH4" s="107">
        <f>IF(MONTH($C2+AH5) = MONTH($C2),AH$5+1,"")</f>
        <v>30</v>
      </c>
      <c r="AI4" s="108">
        <f>IF(MONTH($C2+AI5) = MONTH($C2),AI$5+1,"")</f>
        <v>31</v>
      </c>
      <c r="AJ4" s="88"/>
      <c r="AK4" s="106"/>
      <c r="AL4" s="91"/>
      <c r="AM4" s="91"/>
      <c r="AN4" s="89"/>
      <c r="AO4" s="89"/>
      <c r="AP4" s="89"/>
      <c r="AQ4" s="89"/>
      <c r="AR4" s="89"/>
    </row>
    <row r="5" spans="2:46" ht="19.5" hidden="1" customHeight="1" outlineLevel="1" x14ac:dyDescent="0.2">
      <c r="C5" s="13"/>
      <c r="D5" s="109"/>
      <c r="E5" s="110"/>
      <c r="F5" s="110">
        <v>1</v>
      </c>
      <c r="G5" s="110">
        <v>2</v>
      </c>
      <c r="H5" s="228">
        <v>3</v>
      </c>
      <c r="I5" s="110">
        <v>4</v>
      </c>
      <c r="J5" s="110">
        <v>5</v>
      </c>
      <c r="K5" s="110">
        <v>6</v>
      </c>
      <c r="L5" s="110">
        <v>7</v>
      </c>
      <c r="M5" s="110">
        <v>8</v>
      </c>
      <c r="N5" s="110">
        <v>9</v>
      </c>
      <c r="O5" s="110">
        <v>10</v>
      </c>
      <c r="P5" s="110">
        <v>11</v>
      </c>
      <c r="Q5" s="110">
        <v>12</v>
      </c>
      <c r="R5" s="110">
        <v>13</v>
      </c>
      <c r="S5" s="110">
        <v>14</v>
      </c>
      <c r="T5" s="110">
        <v>15</v>
      </c>
      <c r="U5" s="110">
        <v>16</v>
      </c>
      <c r="V5" s="110">
        <v>17</v>
      </c>
      <c r="W5" s="110">
        <v>18</v>
      </c>
      <c r="X5" s="110">
        <v>19</v>
      </c>
      <c r="Y5" s="110">
        <v>20</v>
      </c>
      <c r="Z5" s="110">
        <v>21</v>
      </c>
      <c r="AA5" s="110">
        <v>22</v>
      </c>
      <c r="AB5" s="110">
        <v>23</v>
      </c>
      <c r="AC5" s="110">
        <v>24</v>
      </c>
      <c r="AD5" s="110">
        <v>25</v>
      </c>
      <c r="AE5" s="110">
        <v>26</v>
      </c>
      <c r="AF5" s="110">
        <v>27</v>
      </c>
      <c r="AG5" s="110">
        <v>28</v>
      </c>
      <c r="AH5" s="110">
        <v>29</v>
      </c>
      <c r="AI5" s="111">
        <v>30</v>
      </c>
      <c r="AJ5" s="88"/>
      <c r="AK5" s="102"/>
      <c r="AL5" s="91"/>
      <c r="AM5" s="91"/>
      <c r="AN5" s="89"/>
      <c r="AO5" s="89"/>
      <c r="AP5" s="89"/>
      <c r="AQ5" s="89"/>
      <c r="AR5" s="89"/>
    </row>
    <row r="6" spans="2:46" ht="19.5" hidden="1" customHeight="1" outlineLevel="1" x14ac:dyDescent="0.2">
      <c r="C6" s="13"/>
      <c r="D6" s="109"/>
      <c r="E6" s="288">
        <f>WEEKDAY(E$3,2)</f>
        <v>6</v>
      </c>
      <c r="F6" s="288">
        <f t="shared" ref="F6:AF6" si="1">WEEKDAY(F$3,2)</f>
        <v>7</v>
      </c>
      <c r="G6" s="288">
        <f t="shared" si="1"/>
        <v>1</v>
      </c>
      <c r="H6" s="898">
        <f t="shared" si="1"/>
        <v>2</v>
      </c>
      <c r="I6" s="288">
        <f t="shared" si="1"/>
        <v>3</v>
      </c>
      <c r="J6" s="288">
        <f t="shared" si="1"/>
        <v>4</v>
      </c>
      <c r="K6" s="288">
        <f t="shared" si="1"/>
        <v>5</v>
      </c>
      <c r="L6" s="288">
        <f t="shared" si="1"/>
        <v>6</v>
      </c>
      <c r="M6" s="288">
        <f t="shared" si="1"/>
        <v>7</v>
      </c>
      <c r="N6" s="288">
        <f t="shared" si="1"/>
        <v>1</v>
      </c>
      <c r="O6" s="288">
        <f t="shared" si="1"/>
        <v>2</v>
      </c>
      <c r="P6" s="288">
        <f t="shared" si="1"/>
        <v>3</v>
      </c>
      <c r="Q6" s="288">
        <f t="shared" si="1"/>
        <v>4</v>
      </c>
      <c r="R6" s="288">
        <f t="shared" si="1"/>
        <v>5</v>
      </c>
      <c r="S6" s="288">
        <f t="shared" si="1"/>
        <v>6</v>
      </c>
      <c r="T6" s="288">
        <f t="shared" si="1"/>
        <v>7</v>
      </c>
      <c r="U6" s="288">
        <f t="shared" si="1"/>
        <v>1</v>
      </c>
      <c r="V6" s="288">
        <f t="shared" si="1"/>
        <v>2</v>
      </c>
      <c r="W6" s="288">
        <f t="shared" si="1"/>
        <v>3</v>
      </c>
      <c r="X6" s="288">
        <f t="shared" si="1"/>
        <v>4</v>
      </c>
      <c r="Y6" s="288">
        <f t="shared" si="1"/>
        <v>5</v>
      </c>
      <c r="Z6" s="288">
        <f t="shared" si="1"/>
        <v>6</v>
      </c>
      <c r="AA6" s="288">
        <f t="shared" si="1"/>
        <v>7</v>
      </c>
      <c r="AB6" s="288">
        <f t="shared" si="1"/>
        <v>1</v>
      </c>
      <c r="AC6" s="288">
        <f t="shared" si="1"/>
        <v>2</v>
      </c>
      <c r="AD6" s="288">
        <f t="shared" si="1"/>
        <v>3</v>
      </c>
      <c r="AE6" s="288">
        <f t="shared" si="1"/>
        <v>4</v>
      </c>
      <c r="AF6" s="288">
        <f t="shared" si="1"/>
        <v>5</v>
      </c>
      <c r="AG6" s="288">
        <f>IF(AG3&lt;&gt;"",WEEKDAY(AG$3,2),"")</f>
        <v>6</v>
      </c>
      <c r="AH6" s="288"/>
      <c r="AI6" s="899"/>
      <c r="AJ6" s="88"/>
      <c r="AK6" s="102"/>
      <c r="AL6" s="91"/>
      <c r="AM6" s="91"/>
      <c r="AN6" s="89"/>
      <c r="AO6" s="89"/>
      <c r="AP6" s="89"/>
      <c r="AQ6" s="89"/>
      <c r="AR6" s="89"/>
    </row>
    <row r="7" spans="2:46" ht="22.5" customHeight="1" collapsed="1" x14ac:dyDescent="0.2">
      <c r="C7" s="8"/>
      <c r="D7" s="112" t="str">
        <f>Januar!D7</f>
        <v>Beginn</v>
      </c>
      <c r="E7" s="1042">
        <v>0</v>
      </c>
      <c r="F7" s="1042">
        <v>0</v>
      </c>
      <c r="G7" s="1042">
        <v>0</v>
      </c>
      <c r="H7" s="1042">
        <v>0</v>
      </c>
      <c r="I7" s="1042">
        <v>0</v>
      </c>
      <c r="J7" s="1042">
        <v>0</v>
      </c>
      <c r="K7" s="1042">
        <v>0</v>
      </c>
      <c r="L7" s="1042">
        <v>0</v>
      </c>
      <c r="M7" s="1042">
        <v>0</v>
      </c>
      <c r="N7" s="1042">
        <v>0</v>
      </c>
      <c r="O7" s="1042">
        <v>0</v>
      </c>
      <c r="P7" s="1042">
        <v>0</v>
      </c>
      <c r="Q7" s="1042">
        <v>0</v>
      </c>
      <c r="R7" s="1042">
        <v>0</v>
      </c>
      <c r="S7" s="1042">
        <v>0</v>
      </c>
      <c r="T7" s="1042">
        <v>0</v>
      </c>
      <c r="U7" s="1042">
        <v>0</v>
      </c>
      <c r="V7" s="1042">
        <v>0</v>
      </c>
      <c r="W7" s="1042">
        <v>0</v>
      </c>
      <c r="X7" s="1042">
        <v>0</v>
      </c>
      <c r="Y7" s="1042">
        <v>0</v>
      </c>
      <c r="Z7" s="1042">
        <v>0</v>
      </c>
      <c r="AA7" s="1042">
        <v>0</v>
      </c>
      <c r="AB7" s="1042">
        <v>0</v>
      </c>
      <c r="AC7" s="1042">
        <v>0</v>
      </c>
      <c r="AD7" s="1042">
        <v>0</v>
      </c>
      <c r="AE7" s="1042">
        <v>0</v>
      </c>
      <c r="AF7" s="1042">
        <v>0</v>
      </c>
      <c r="AG7" s="1042">
        <v>0</v>
      </c>
      <c r="AH7" s="1042">
        <v>0</v>
      </c>
      <c r="AI7" s="1043">
        <v>0</v>
      </c>
      <c r="AJ7" s="88"/>
      <c r="AK7" s="900"/>
      <c r="AL7" s="91"/>
      <c r="AM7" s="91"/>
      <c r="AN7" s="113"/>
      <c r="AO7" s="89"/>
      <c r="AP7" s="89"/>
      <c r="AQ7" s="89"/>
      <c r="AR7" s="89"/>
    </row>
    <row r="8" spans="2:46" ht="22.5" customHeight="1" x14ac:dyDescent="0.2">
      <c r="C8" s="901"/>
      <c r="D8" s="112" t="str">
        <f>Januar!D8</f>
        <v>Ende</v>
      </c>
      <c r="E8" s="235"/>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4"/>
      <c r="AJ8" s="88"/>
      <c r="AK8" s="900"/>
      <c r="AL8" s="91"/>
      <c r="AM8" s="91"/>
      <c r="AN8" s="89"/>
      <c r="AO8" s="89"/>
      <c r="AP8" s="89"/>
      <c r="AQ8" s="89"/>
      <c r="AR8" s="89"/>
    </row>
    <row r="9" spans="2:46" ht="22.5" customHeight="1" x14ac:dyDescent="0.2">
      <c r="C9" s="8"/>
      <c r="D9" s="112" t="str">
        <f>Januar!D9</f>
        <v>Beginn</v>
      </c>
      <c r="E9" s="1041"/>
      <c r="F9" s="1042"/>
      <c r="G9" s="1042"/>
      <c r="H9" s="1042"/>
      <c r="I9" s="1042"/>
      <c r="J9" s="1042"/>
      <c r="K9" s="1042"/>
      <c r="L9" s="1042"/>
      <c r="M9" s="1042"/>
      <c r="N9" s="1042"/>
      <c r="O9" s="1042"/>
      <c r="P9" s="1042"/>
      <c r="Q9" s="1042"/>
      <c r="R9" s="1042"/>
      <c r="S9" s="1042"/>
      <c r="T9" s="1042"/>
      <c r="U9" s="1042"/>
      <c r="V9" s="1042"/>
      <c r="W9" s="1042"/>
      <c r="X9" s="1042"/>
      <c r="Y9" s="1042"/>
      <c r="Z9" s="1042"/>
      <c r="AA9" s="1042"/>
      <c r="AB9" s="1042"/>
      <c r="AC9" s="1042"/>
      <c r="AD9" s="1042"/>
      <c r="AE9" s="1042"/>
      <c r="AF9" s="1042"/>
      <c r="AG9" s="1042"/>
      <c r="AH9" s="1042"/>
      <c r="AI9" s="1043"/>
      <c r="AJ9" s="88"/>
      <c r="AK9" s="900"/>
      <c r="AL9" s="91"/>
      <c r="AM9" s="91"/>
      <c r="AN9" s="89"/>
      <c r="AO9" s="89"/>
      <c r="AP9" s="89"/>
      <c r="AQ9" s="89"/>
      <c r="AR9" s="89"/>
    </row>
    <row r="10" spans="2:46" ht="22.5" customHeight="1" x14ac:dyDescent="0.2">
      <c r="C10" s="901"/>
      <c r="D10" s="112" t="str">
        <f>Januar!D10</f>
        <v>Ende</v>
      </c>
      <c r="E10" s="235"/>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4"/>
      <c r="AJ10" s="88"/>
      <c r="AK10" s="900"/>
      <c r="AL10" s="900"/>
      <c r="AM10" s="114"/>
      <c r="AN10" s="114"/>
      <c r="AO10" s="114"/>
      <c r="AP10" s="89"/>
      <c r="AQ10" s="89"/>
      <c r="AR10" s="89"/>
    </row>
    <row r="11" spans="2:46" ht="22.5" customHeight="1" x14ac:dyDescent="0.2">
      <c r="C11" s="8"/>
      <c r="D11" s="112" t="str">
        <f>Januar!D11</f>
        <v>Beginn</v>
      </c>
      <c r="E11" s="1041"/>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3"/>
      <c r="AJ11" s="88"/>
      <c r="AK11" s="115"/>
      <c r="AL11" s="89"/>
      <c r="AM11" s="89"/>
      <c r="AN11" s="89"/>
      <c r="AO11" s="89"/>
      <c r="AP11" s="89"/>
      <c r="AQ11" s="89"/>
      <c r="AR11" s="89"/>
    </row>
    <row r="12" spans="2:46" ht="22.5" customHeight="1" x14ac:dyDescent="0.2">
      <c r="C12" s="116"/>
      <c r="D12" s="112" t="str">
        <f>Januar!D12</f>
        <v>Ende</v>
      </c>
      <c r="E12" s="235"/>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4"/>
      <c r="AJ12" s="88"/>
      <c r="AK12" s="902"/>
      <c r="AL12" s="91" t="s">
        <v>411</v>
      </c>
      <c r="AM12" s="91"/>
      <c r="AN12" s="113"/>
      <c r="AO12" s="89"/>
      <c r="AP12" s="89"/>
      <c r="AQ12" s="89"/>
      <c r="AR12" s="89"/>
    </row>
    <row r="13" spans="2:46" s="123" customFormat="1" x14ac:dyDescent="0.2">
      <c r="B13" s="117"/>
      <c r="C13" s="118" t="str">
        <f>Januar!C13</f>
        <v>Effektive Arbeitszeit</v>
      </c>
      <c r="D13" s="119"/>
      <c r="E13" s="1044">
        <f>IF(COUNT(E7:E12)&gt;0,E12-E11+E10-E9+E8-E7,E39)</f>
        <v>0</v>
      </c>
      <c r="F13" s="1045">
        <f t="shared" ref="F13:AI13" si="2">IF(COUNT(F7:F12)&gt;0,F12-F11+F10-F9+F8-F7,F39)</f>
        <v>0</v>
      </c>
      <c r="G13" s="1045">
        <f t="shared" si="2"/>
        <v>0</v>
      </c>
      <c r="H13" s="1045">
        <f t="shared" si="2"/>
        <v>0</v>
      </c>
      <c r="I13" s="1045">
        <f t="shared" si="2"/>
        <v>0</v>
      </c>
      <c r="J13" s="1045">
        <f t="shared" si="2"/>
        <v>0</v>
      </c>
      <c r="K13" s="1045">
        <f t="shared" si="2"/>
        <v>0</v>
      </c>
      <c r="L13" s="1045">
        <f t="shared" si="2"/>
        <v>0</v>
      </c>
      <c r="M13" s="1045">
        <f t="shared" si="2"/>
        <v>0</v>
      </c>
      <c r="N13" s="1045">
        <f t="shared" si="2"/>
        <v>0</v>
      </c>
      <c r="O13" s="1045">
        <f t="shared" si="2"/>
        <v>0</v>
      </c>
      <c r="P13" s="1045">
        <f t="shared" si="2"/>
        <v>0</v>
      </c>
      <c r="Q13" s="1045">
        <f t="shared" si="2"/>
        <v>0</v>
      </c>
      <c r="R13" s="1045">
        <f t="shared" si="2"/>
        <v>0</v>
      </c>
      <c r="S13" s="1045">
        <f t="shared" si="2"/>
        <v>0</v>
      </c>
      <c r="T13" s="1045">
        <f t="shared" si="2"/>
        <v>0</v>
      </c>
      <c r="U13" s="1045">
        <f t="shared" si="2"/>
        <v>0</v>
      </c>
      <c r="V13" s="1045">
        <f t="shared" si="2"/>
        <v>0</v>
      </c>
      <c r="W13" s="1045">
        <f t="shared" si="2"/>
        <v>0</v>
      </c>
      <c r="X13" s="1045">
        <f t="shared" si="2"/>
        <v>0</v>
      </c>
      <c r="Y13" s="1045">
        <f t="shared" si="2"/>
        <v>0</v>
      </c>
      <c r="Z13" s="1045">
        <f t="shared" si="2"/>
        <v>0</v>
      </c>
      <c r="AA13" s="1045">
        <f t="shared" si="2"/>
        <v>0</v>
      </c>
      <c r="AB13" s="1045">
        <f t="shared" si="2"/>
        <v>0</v>
      </c>
      <c r="AC13" s="1045">
        <f t="shared" si="2"/>
        <v>0</v>
      </c>
      <c r="AD13" s="1045">
        <f t="shared" si="2"/>
        <v>0</v>
      </c>
      <c r="AE13" s="1045">
        <f t="shared" si="2"/>
        <v>0</v>
      </c>
      <c r="AF13" s="1045">
        <f t="shared" si="2"/>
        <v>0</v>
      </c>
      <c r="AG13" s="1045">
        <f t="shared" si="2"/>
        <v>0</v>
      </c>
      <c r="AH13" s="1045">
        <f t="shared" si="2"/>
        <v>0</v>
      </c>
      <c r="AI13" s="1046">
        <f t="shared" si="2"/>
        <v>0</v>
      </c>
      <c r="AJ13" s="1047">
        <f t="shared" ref="AJ13:AJ18" si="3">SUM(E13:AI13)</f>
        <v>0</v>
      </c>
      <c r="AK13" s="120"/>
      <c r="AL13" s="121" t="s">
        <v>413</v>
      </c>
      <c r="AM13" s="121"/>
      <c r="AN13" s="122"/>
      <c r="AS13" s="124"/>
    </row>
    <row r="14" spans="2:46" s="129" customFormat="1" x14ac:dyDescent="0.2">
      <c r="B14" s="117"/>
      <c r="C14" s="118" t="str">
        <f>Januar!C14</f>
        <v>inkl. Basiszeit / Feiertage</v>
      </c>
      <c r="D14" s="125"/>
      <c r="E14" s="126">
        <f>ROUND(SUM(E13,E15,E21,E22,E24:E38),8)</f>
        <v>0</v>
      </c>
      <c r="F14" s="127">
        <f>ROUND(SUM(F13,F15,F21,F22,F24:F38),8)</f>
        <v>0</v>
      </c>
      <c r="G14" s="127">
        <f t="shared" ref="G14:AI14" si="4">ROUND(SUM(G13,G15,G21,G22,G24:G38),8)</f>
        <v>0</v>
      </c>
      <c r="H14" s="127">
        <f t="shared" si="4"/>
        <v>0</v>
      </c>
      <c r="I14" s="127">
        <f t="shared" si="4"/>
        <v>0</v>
      </c>
      <c r="J14" s="127">
        <f t="shared" si="4"/>
        <v>0</v>
      </c>
      <c r="K14" s="127">
        <f t="shared" si="4"/>
        <v>0</v>
      </c>
      <c r="L14" s="127">
        <f t="shared" si="4"/>
        <v>0</v>
      </c>
      <c r="M14" s="127">
        <f t="shared" si="4"/>
        <v>0</v>
      </c>
      <c r="N14" s="127">
        <f t="shared" si="4"/>
        <v>0</v>
      </c>
      <c r="O14" s="127">
        <f t="shared" si="4"/>
        <v>0</v>
      </c>
      <c r="P14" s="127">
        <f t="shared" si="4"/>
        <v>0</v>
      </c>
      <c r="Q14" s="127">
        <f t="shared" si="4"/>
        <v>0</v>
      </c>
      <c r="R14" s="127">
        <f t="shared" si="4"/>
        <v>0</v>
      </c>
      <c r="S14" s="127">
        <f t="shared" si="4"/>
        <v>0</v>
      </c>
      <c r="T14" s="127">
        <f t="shared" si="4"/>
        <v>0</v>
      </c>
      <c r="U14" s="127">
        <f t="shared" si="4"/>
        <v>0</v>
      </c>
      <c r="V14" s="127">
        <f t="shared" si="4"/>
        <v>0</v>
      </c>
      <c r="W14" s="127">
        <f t="shared" si="4"/>
        <v>0</v>
      </c>
      <c r="X14" s="127">
        <f t="shared" si="4"/>
        <v>0</v>
      </c>
      <c r="Y14" s="127">
        <f t="shared" si="4"/>
        <v>0</v>
      </c>
      <c r="Z14" s="127">
        <f t="shared" si="4"/>
        <v>0</v>
      </c>
      <c r="AA14" s="127">
        <f t="shared" si="4"/>
        <v>0</v>
      </c>
      <c r="AB14" s="127">
        <f t="shared" si="4"/>
        <v>0</v>
      </c>
      <c r="AC14" s="127">
        <f t="shared" si="4"/>
        <v>0</v>
      </c>
      <c r="AD14" s="127">
        <f t="shared" si="4"/>
        <v>0</v>
      </c>
      <c r="AE14" s="127">
        <f t="shared" si="4"/>
        <v>0</v>
      </c>
      <c r="AF14" s="127">
        <f t="shared" si="4"/>
        <v>0</v>
      </c>
      <c r="AG14" s="127">
        <f t="shared" si="4"/>
        <v>0</v>
      </c>
      <c r="AH14" s="127">
        <f t="shared" si="4"/>
        <v>0</v>
      </c>
      <c r="AI14" s="127">
        <f t="shared" si="4"/>
        <v>0</v>
      </c>
      <c r="AJ14" s="128">
        <f t="shared" si="3"/>
        <v>0</v>
      </c>
      <c r="AK14" s="1048">
        <f>AJ14-AJ16-IF(Eingabeblatt!D7="NEIN",AJ85,AJ85/1.25)</f>
        <v>-7.349999999999997</v>
      </c>
      <c r="AL14" s="117" t="s">
        <v>415</v>
      </c>
      <c r="AM14" s="121"/>
      <c r="AN14" s="122"/>
      <c r="AT14" s="123"/>
    </row>
    <row r="15" spans="2:46" s="129" customFormat="1" x14ac:dyDescent="0.2">
      <c r="B15" s="117">
        <f>ctFeierFreitage!K28</f>
        <v>3.3166666666666669</v>
      </c>
      <c r="C15" s="118" t="str">
        <f>Januar!C15</f>
        <v>Feiertagsanspruch</v>
      </c>
      <c r="D15" s="125"/>
      <c r="E15" s="126">
        <f t="shared" ref="E15:AI15" si="5">IF(ISERROR(VLOOKUP(DATE($D$2,MONTH($C$2),E$4),Feiertagsanspruch,9,FALSE)),0,VLOOKUP(DATE($D$2,MONTH($C$2),E$4),Feiertagsanspruch,9,FALSE))</f>
        <v>0</v>
      </c>
      <c r="F15" s="127">
        <f t="shared" si="5"/>
        <v>0</v>
      </c>
      <c r="G15" s="127">
        <f t="shared" si="5"/>
        <v>0</v>
      </c>
      <c r="H15" s="127">
        <f t="shared" si="5"/>
        <v>0</v>
      </c>
      <c r="I15" s="127">
        <f t="shared" si="5"/>
        <v>0</v>
      </c>
      <c r="J15" s="127">
        <f t="shared" si="5"/>
        <v>0</v>
      </c>
      <c r="K15" s="127">
        <f t="shared" si="5"/>
        <v>0</v>
      </c>
      <c r="L15" s="127">
        <f t="shared" si="5"/>
        <v>0</v>
      </c>
      <c r="M15" s="127">
        <f t="shared" si="5"/>
        <v>0</v>
      </c>
      <c r="N15" s="127">
        <f t="shared" si="5"/>
        <v>0</v>
      </c>
      <c r="O15" s="127">
        <f t="shared" si="5"/>
        <v>0</v>
      </c>
      <c r="P15" s="127">
        <f t="shared" si="5"/>
        <v>0</v>
      </c>
      <c r="Q15" s="127">
        <f t="shared" si="5"/>
        <v>0</v>
      </c>
      <c r="R15" s="127">
        <f t="shared" si="5"/>
        <v>0</v>
      </c>
      <c r="S15" s="127">
        <f t="shared" si="5"/>
        <v>0</v>
      </c>
      <c r="T15" s="127">
        <f t="shared" si="5"/>
        <v>0</v>
      </c>
      <c r="U15" s="127">
        <f t="shared" si="5"/>
        <v>0</v>
      </c>
      <c r="V15" s="127">
        <f t="shared" si="5"/>
        <v>0</v>
      </c>
      <c r="W15" s="127">
        <f t="shared" si="5"/>
        <v>0</v>
      </c>
      <c r="X15" s="127">
        <f t="shared" si="5"/>
        <v>0</v>
      </c>
      <c r="Y15" s="127">
        <f t="shared" si="5"/>
        <v>0</v>
      </c>
      <c r="Z15" s="127">
        <f t="shared" si="5"/>
        <v>0</v>
      </c>
      <c r="AA15" s="127">
        <f t="shared" si="5"/>
        <v>0</v>
      </c>
      <c r="AB15" s="127">
        <f t="shared" si="5"/>
        <v>0</v>
      </c>
      <c r="AC15" s="127">
        <f t="shared" si="5"/>
        <v>0</v>
      </c>
      <c r="AD15" s="127">
        <f t="shared" si="5"/>
        <v>0</v>
      </c>
      <c r="AE15" s="127">
        <f t="shared" si="5"/>
        <v>0</v>
      </c>
      <c r="AF15" s="127">
        <f t="shared" si="5"/>
        <v>0</v>
      </c>
      <c r="AG15" s="127">
        <f t="shared" si="5"/>
        <v>0</v>
      </c>
      <c r="AH15" s="127">
        <f t="shared" si="5"/>
        <v>0</v>
      </c>
      <c r="AI15" s="127">
        <f t="shared" si="5"/>
        <v>0</v>
      </c>
      <c r="AJ15" s="128">
        <f t="shared" si="3"/>
        <v>0</v>
      </c>
      <c r="AK15" s="1048"/>
      <c r="AL15" s="117"/>
      <c r="AM15" s="121"/>
      <c r="AN15" s="122"/>
      <c r="AT15" s="123"/>
    </row>
    <row r="16" spans="2:46" s="123" customFormat="1" hidden="1" outlineLevel="1" x14ac:dyDescent="0.2">
      <c r="B16" s="117"/>
      <c r="C16" s="118" t="str">
        <f>Januar!C16</f>
        <v>SOLL-Arbeitszeit</v>
      </c>
      <c r="D16" s="119"/>
      <c r="E16" s="126">
        <f>IF(ROUND(E17-E15,8)&lt;0,0,ROUND(E17-E15,8))</f>
        <v>0</v>
      </c>
      <c r="F16" s="127">
        <f>IF(ROUND(F17-F15,8)&lt;0,0,ROUND(F17-F15,8))</f>
        <v>0</v>
      </c>
      <c r="G16" s="127">
        <f t="shared" ref="G16:AI16" si="6">IF(ROUND(G17-G15,8)&lt;0,0,ROUND(G17-G15,8))</f>
        <v>0.35</v>
      </c>
      <c r="H16" s="127">
        <f t="shared" si="6"/>
        <v>0.35</v>
      </c>
      <c r="I16" s="127">
        <f t="shared" si="6"/>
        <v>0.35</v>
      </c>
      <c r="J16" s="127">
        <f t="shared" si="6"/>
        <v>0.35</v>
      </c>
      <c r="K16" s="127">
        <f t="shared" si="6"/>
        <v>0.35</v>
      </c>
      <c r="L16" s="127">
        <f t="shared" si="6"/>
        <v>0</v>
      </c>
      <c r="M16" s="127">
        <f t="shared" si="6"/>
        <v>0</v>
      </c>
      <c r="N16" s="127">
        <f t="shared" si="6"/>
        <v>0.35</v>
      </c>
      <c r="O16" s="127">
        <f t="shared" si="6"/>
        <v>0.35</v>
      </c>
      <c r="P16" s="127">
        <f t="shared" si="6"/>
        <v>0.35</v>
      </c>
      <c r="Q16" s="127">
        <f t="shared" si="6"/>
        <v>0.35</v>
      </c>
      <c r="R16" s="127">
        <f t="shared" si="6"/>
        <v>0.35</v>
      </c>
      <c r="S16" s="127">
        <f t="shared" si="6"/>
        <v>0</v>
      </c>
      <c r="T16" s="127">
        <f t="shared" si="6"/>
        <v>0</v>
      </c>
      <c r="U16" s="127">
        <f t="shared" si="6"/>
        <v>0.35</v>
      </c>
      <c r="V16" s="127">
        <f t="shared" si="6"/>
        <v>0.35</v>
      </c>
      <c r="W16" s="127">
        <f t="shared" si="6"/>
        <v>0.35</v>
      </c>
      <c r="X16" s="127">
        <f t="shared" si="6"/>
        <v>0.35</v>
      </c>
      <c r="Y16" s="127">
        <f t="shared" si="6"/>
        <v>0.35</v>
      </c>
      <c r="Z16" s="127">
        <f t="shared" si="6"/>
        <v>0</v>
      </c>
      <c r="AA16" s="127">
        <f t="shared" si="6"/>
        <v>0</v>
      </c>
      <c r="AB16" s="127">
        <f t="shared" si="6"/>
        <v>0.35</v>
      </c>
      <c r="AC16" s="127">
        <f t="shared" si="6"/>
        <v>0.35</v>
      </c>
      <c r="AD16" s="127">
        <f t="shared" si="6"/>
        <v>0.35</v>
      </c>
      <c r="AE16" s="127">
        <f t="shared" si="6"/>
        <v>0.35</v>
      </c>
      <c r="AF16" s="127">
        <f t="shared" si="6"/>
        <v>0.35</v>
      </c>
      <c r="AG16" s="127">
        <f t="shared" si="6"/>
        <v>0</v>
      </c>
      <c r="AH16" s="127">
        <f t="shared" si="6"/>
        <v>0</v>
      </c>
      <c r="AI16" s="127">
        <f t="shared" si="6"/>
        <v>0.35</v>
      </c>
      <c r="AJ16" s="128">
        <f t="shared" si="3"/>
        <v>7.349999999999997</v>
      </c>
      <c r="AK16" s="130"/>
      <c r="AL16" s="121" t="s">
        <v>416</v>
      </c>
      <c r="AM16" s="121"/>
      <c r="AN16" s="122"/>
      <c r="AT16" s="129"/>
    </row>
    <row r="17" spans="1:46" s="123" customFormat="1" collapsed="1" x14ac:dyDescent="0.2">
      <c r="B17" s="117"/>
      <c r="C17" s="118" t="str">
        <f>Januar!C17</f>
        <v>Regelarbeitszeit</v>
      </c>
      <c r="D17" s="119"/>
      <c r="E17" s="126">
        <f>IF(ISERROR(IF(E4&lt;&gt;0,VLOOKUP(DATE($D$2,MONTH($C$2),E$4),Raz,WEEKDAY(DATE($D$2,MONTH($C$2),E$4))+2),0)),0,IF(E4&lt;&gt;0,VLOOKUP(DATE($D$2,MONTH($C$2),E$4),Raz,WEEKDAY(DATE($D$2,MONTH($C$2),E$4))+2),0))</f>
        <v>0</v>
      </c>
      <c r="F17" s="127">
        <f t="shared" ref="F17:AI17" si="7">IF(ISERROR(IF(F4&lt;&gt;0,VLOOKUP(DATE($D$2,MONTH($C$2),F$4),Raz,WEEKDAY(DATE($D$2,MONTH($C$2),F$4))+2),0)),0,IF(F4&lt;&gt;0,VLOOKUP(DATE($D$2,MONTH($C$2),F$4),Raz,WEEKDAY(DATE($D$2,MONTH($C$2),F$4))+2),0))</f>
        <v>0</v>
      </c>
      <c r="G17" s="127">
        <f t="shared" si="7"/>
        <v>0.35000000000000003</v>
      </c>
      <c r="H17" s="127">
        <f t="shared" si="7"/>
        <v>0.35000000000000003</v>
      </c>
      <c r="I17" s="127">
        <f t="shared" si="7"/>
        <v>0.35000000000000003</v>
      </c>
      <c r="J17" s="127">
        <f t="shared" si="7"/>
        <v>0.35</v>
      </c>
      <c r="K17" s="127">
        <f t="shared" si="7"/>
        <v>0.35000000000000003</v>
      </c>
      <c r="L17" s="127">
        <f t="shared" si="7"/>
        <v>0</v>
      </c>
      <c r="M17" s="127">
        <f t="shared" si="7"/>
        <v>0</v>
      </c>
      <c r="N17" s="127">
        <f t="shared" si="7"/>
        <v>0.35000000000000003</v>
      </c>
      <c r="O17" s="127">
        <f t="shared" si="7"/>
        <v>0.35000000000000003</v>
      </c>
      <c r="P17" s="127">
        <f t="shared" si="7"/>
        <v>0.35000000000000003</v>
      </c>
      <c r="Q17" s="127">
        <f t="shared" si="7"/>
        <v>0.35</v>
      </c>
      <c r="R17" s="127">
        <f t="shared" si="7"/>
        <v>0.35000000000000003</v>
      </c>
      <c r="S17" s="127">
        <f t="shared" si="7"/>
        <v>0</v>
      </c>
      <c r="T17" s="127">
        <f t="shared" si="7"/>
        <v>0</v>
      </c>
      <c r="U17" s="127">
        <f t="shared" si="7"/>
        <v>0.35000000000000003</v>
      </c>
      <c r="V17" s="127">
        <f t="shared" si="7"/>
        <v>0.35000000000000003</v>
      </c>
      <c r="W17" s="127">
        <f t="shared" si="7"/>
        <v>0.35000000000000003</v>
      </c>
      <c r="X17" s="127">
        <f t="shared" si="7"/>
        <v>0.35</v>
      </c>
      <c r="Y17" s="127">
        <f t="shared" si="7"/>
        <v>0.35000000000000003</v>
      </c>
      <c r="Z17" s="127">
        <f t="shared" si="7"/>
        <v>0</v>
      </c>
      <c r="AA17" s="127">
        <f t="shared" si="7"/>
        <v>0</v>
      </c>
      <c r="AB17" s="127">
        <f t="shared" si="7"/>
        <v>0.35000000000000003</v>
      </c>
      <c r="AC17" s="127">
        <f t="shared" si="7"/>
        <v>0.35000000000000003</v>
      </c>
      <c r="AD17" s="127">
        <f t="shared" si="7"/>
        <v>0.35000000000000003</v>
      </c>
      <c r="AE17" s="127">
        <f t="shared" si="7"/>
        <v>0.35</v>
      </c>
      <c r="AF17" s="127">
        <f t="shared" si="7"/>
        <v>0.35000000000000003</v>
      </c>
      <c r="AG17" s="127">
        <f t="shared" si="7"/>
        <v>0</v>
      </c>
      <c r="AH17" s="127">
        <f t="shared" si="7"/>
        <v>0</v>
      </c>
      <c r="AI17" s="127">
        <f t="shared" si="7"/>
        <v>0.35000000000000003</v>
      </c>
      <c r="AJ17" s="128">
        <f t="shared" si="3"/>
        <v>7.349999999999997</v>
      </c>
      <c r="AK17" s="131"/>
      <c r="AL17" s="121"/>
      <c r="AM17" s="121"/>
      <c r="AN17" s="122"/>
    </row>
    <row r="18" spans="1:46" s="123" customFormat="1" x14ac:dyDescent="0.2">
      <c r="B18" s="117"/>
      <c r="C18" s="132" t="str">
        <f>Januar!C18</f>
        <v>Mehr-/Minderleistung</v>
      </c>
      <c r="D18" s="133"/>
      <c r="E18" s="134">
        <f>ROUND(E14-E17,8)</f>
        <v>0</v>
      </c>
      <c r="F18" s="135">
        <f>ROUND(F14-F17,8)</f>
        <v>0</v>
      </c>
      <c r="G18" s="135">
        <f t="shared" ref="G18:AI18" si="8">ROUND(G14-G17,8)</f>
        <v>-0.35</v>
      </c>
      <c r="H18" s="135">
        <f t="shared" si="8"/>
        <v>-0.35</v>
      </c>
      <c r="I18" s="135">
        <f t="shared" si="8"/>
        <v>-0.35</v>
      </c>
      <c r="J18" s="135">
        <f t="shared" si="8"/>
        <v>-0.35</v>
      </c>
      <c r="K18" s="135">
        <f t="shared" si="8"/>
        <v>-0.35</v>
      </c>
      <c r="L18" s="135">
        <f t="shared" si="8"/>
        <v>0</v>
      </c>
      <c r="M18" s="135">
        <f t="shared" si="8"/>
        <v>0</v>
      </c>
      <c r="N18" s="135">
        <f t="shared" si="8"/>
        <v>-0.35</v>
      </c>
      <c r="O18" s="135">
        <f t="shared" si="8"/>
        <v>-0.35</v>
      </c>
      <c r="P18" s="135">
        <f t="shared" si="8"/>
        <v>-0.35</v>
      </c>
      <c r="Q18" s="135">
        <f t="shared" si="8"/>
        <v>-0.35</v>
      </c>
      <c r="R18" s="135">
        <f t="shared" si="8"/>
        <v>-0.35</v>
      </c>
      <c r="S18" s="135">
        <f t="shared" si="8"/>
        <v>0</v>
      </c>
      <c r="T18" s="135">
        <f t="shared" si="8"/>
        <v>0</v>
      </c>
      <c r="U18" s="135">
        <f t="shared" si="8"/>
        <v>-0.35</v>
      </c>
      <c r="V18" s="135">
        <f t="shared" si="8"/>
        <v>-0.35</v>
      </c>
      <c r="W18" s="135">
        <f t="shared" si="8"/>
        <v>-0.35</v>
      </c>
      <c r="X18" s="135">
        <f t="shared" si="8"/>
        <v>-0.35</v>
      </c>
      <c r="Y18" s="135">
        <f t="shared" si="8"/>
        <v>-0.35</v>
      </c>
      <c r="Z18" s="135">
        <f t="shared" si="8"/>
        <v>0</v>
      </c>
      <c r="AA18" s="135">
        <f t="shared" si="8"/>
        <v>0</v>
      </c>
      <c r="AB18" s="135">
        <f t="shared" si="8"/>
        <v>-0.35</v>
      </c>
      <c r="AC18" s="135">
        <f t="shared" si="8"/>
        <v>-0.35</v>
      </c>
      <c r="AD18" s="135">
        <f t="shared" si="8"/>
        <v>-0.35</v>
      </c>
      <c r="AE18" s="135">
        <f t="shared" si="8"/>
        <v>-0.35</v>
      </c>
      <c r="AF18" s="135">
        <f t="shared" si="8"/>
        <v>-0.35</v>
      </c>
      <c r="AG18" s="135">
        <f t="shared" si="8"/>
        <v>0</v>
      </c>
      <c r="AH18" s="135">
        <f t="shared" si="8"/>
        <v>0</v>
      </c>
      <c r="AI18" s="135">
        <f t="shared" si="8"/>
        <v>-0.35</v>
      </c>
      <c r="AJ18" s="136">
        <f t="shared" si="3"/>
        <v>-7.349999999999997</v>
      </c>
      <c r="AK18" s="137" t="s">
        <v>418</v>
      </c>
      <c r="AL18" s="121" t="s">
        <v>419</v>
      </c>
      <c r="AM18" s="121"/>
      <c r="AN18" s="122"/>
      <c r="AO18" s="122"/>
    </row>
    <row r="19" spans="1:46" s="138" customFormat="1" ht="24" x14ac:dyDescent="0.2">
      <c r="A19" s="781"/>
      <c r="B19" s="139" t="s">
        <v>420</v>
      </c>
      <c r="C19" s="1049" t="str">
        <f>Januar!C19</f>
        <v>Arbeitszeit-Saldo</v>
      </c>
      <c r="D19" s="903">
        <f ca="1">Juli!AJ19</f>
        <v>0</v>
      </c>
      <c r="E19" s="1050">
        <f ca="1">IF(E4&lt;&gt;"",IF(DATE($D$2,MONTH($C$2),E$4)&lt;=Eingabeblatt!$I$8,IF(OR(AND(E$86="JA",E14&gt;E16),AND(E86="JA",Eingabeblatt!$I$10="NEIN")),D19,D19+E18),IF(D19=0,0,IF(OR(COUNT(E7:E12,E22:E38)&gt;0,AND(COUNT(E7:E12,E22:E38)=0,E16=0)),IF(OR(AND(E$86="JA",E14&gt;E16),AND(E86="JA",Eingabeblatt!$I$10="NEIN")),D19,D19+E18),0))),D19)</f>
        <v>0</v>
      </c>
      <c r="F19" s="1051">
        <f ca="1">IF(F4&lt;&gt;"",IF(DATE($D$2,MONTH($C$2),F$4)&lt;=Eingabeblatt!$I$8,IF(OR(AND(F$86="JA",F14&gt;F16),AND(F86="JA",Eingabeblatt!$I$10="NEIN")),E19,E19+F18),IF(E19=0,0,IF(OR(COUNT(F7:F12,F22:F38)&gt;0,AND(COUNT(F7:F12,F22:F38)=0,F16=0)),IF(OR(AND(F$86="JA",F14&gt;F16),AND(F86="JA",Eingabeblatt!$I$10="NEIN")),E19,E19+F18),0))),E19)</f>
        <v>0</v>
      </c>
      <c r="G19" s="1051">
        <f ca="1">IF(G4&lt;&gt;"",IF(DATE($D$2,MONTH($C$2),G$4)&lt;=Eingabeblatt!$I$8,IF(OR(AND(G$86="JA",G14&gt;G16),AND(G86="JA",Eingabeblatt!$I$10="NEIN")),F19,F19+G18),IF(F19=0,0,IF(OR(COUNT(G7:G12,G22:G38)&gt;0,AND(COUNT(G7:G12,G22:G38)=0,G16=0)),IF(OR(AND(G$86="JA",G14&gt;G16),AND(G86="JA",Eingabeblatt!$I$10="NEIN")),F19,F19+G18),0))),F19)</f>
        <v>0</v>
      </c>
      <c r="H19" s="1051">
        <f ca="1">IF(H4&lt;&gt;"",IF(DATE($D$2,MONTH($C$2),H$4)&lt;=Eingabeblatt!$I$8,IF(OR(AND(H$86="JA",H14&gt;H16),AND(H86="JA",Eingabeblatt!$I$10="NEIN")),G19,G19+H18),IF(G19=0,0,IF(OR(COUNT(H7:H12,H22:H38)&gt;0,AND(COUNT(H7:H12,H22:H38)=0,H16=0)),IF(OR(AND(H$86="JA",H14&gt;H16),AND(H86="JA",Eingabeblatt!$I$10="NEIN")),G19,G19+H18),0))),G19)</f>
        <v>0</v>
      </c>
      <c r="I19" s="1051">
        <f ca="1">IF(I4&lt;&gt;"",IF(DATE($D$2,MONTH($C$2),I$4)&lt;=Eingabeblatt!$I$8,IF(OR(AND(I$86="JA",I14&gt;I16),AND(I86="JA",Eingabeblatt!$I$10="NEIN")),H19,H19+I18),IF(H19=0,0,IF(OR(COUNT(I7:I12,I22:I38)&gt;0,AND(COUNT(I7:I12,I22:I38)=0,I16=0)),IF(OR(AND(I$86="JA",I14&gt;I16),AND(I86="JA",Eingabeblatt!$I$10="NEIN")),H19,H19+I18),0))),H19)</f>
        <v>0</v>
      </c>
      <c r="J19" s="1051">
        <f ca="1">IF(J4&lt;&gt;"",IF(DATE($D$2,MONTH($C$2),J$4)&lt;=Eingabeblatt!$I$8,IF(OR(AND(J$86="JA",J14&gt;J16),AND(J86="JA",Eingabeblatt!$I$10="NEIN")),I19,I19+J18),IF(I19=0,0,IF(OR(COUNT(J7:J12,J22:J38)&gt;0,AND(COUNT(J7:J12,J22:J38)=0,J16=0)),IF(OR(AND(J$86="JA",J14&gt;J16),AND(J86="JA",Eingabeblatt!$I$10="NEIN")),I19,I19+J18),0))),I19)</f>
        <v>0</v>
      </c>
      <c r="K19" s="1051">
        <f ca="1">IF(K4&lt;&gt;"",IF(DATE($D$2,MONTH($C$2),K$4)&lt;=Eingabeblatt!$I$8,IF(OR(AND(K$86="JA",K14&gt;K16),AND(K86="JA",Eingabeblatt!$I$10="NEIN")),J19,J19+K18),IF(J19=0,0,IF(OR(COUNT(K7:K12,K22:K38)&gt;0,AND(COUNT(K7:K12,K22:K38)=0,K16=0)),IF(OR(AND(K$86="JA",K14&gt;K16),AND(K86="JA",Eingabeblatt!$I$10="NEIN")),J19,J19+K18),0))),J19)</f>
        <v>0</v>
      </c>
      <c r="L19" s="1051">
        <f ca="1">IF(L4&lt;&gt;"",IF(DATE($D$2,MONTH($C$2),L$4)&lt;=Eingabeblatt!$I$8,IF(OR(AND(L$86="JA",L14&gt;L16),AND(L86="JA",Eingabeblatt!$I$10="NEIN")),K19,K19+L18),IF(K19=0,0,IF(OR(COUNT(L7:L12,L22:L38)&gt;0,AND(COUNT(L7:L12,L22:L38)=0,L16=0)),IF(OR(AND(L$86="JA",L14&gt;L16),AND(L86="JA",Eingabeblatt!$I$10="NEIN")),K19,K19+L18),0))),K19)</f>
        <v>0</v>
      </c>
      <c r="M19" s="1051">
        <f ca="1">IF(M4&lt;&gt;"",IF(DATE($D$2,MONTH($C$2),M$4)&lt;=Eingabeblatt!$I$8,IF(OR(AND(M$86="JA",M14&gt;M16),AND(M86="JA",Eingabeblatt!$I$10="NEIN")),L19,L19+M18),IF(L19=0,0,IF(OR(COUNT(M7:M12,M22:M38)&gt;0,AND(COUNT(M7:M12,M22:M38)=0,M16=0)),IF(OR(AND(M$86="JA",M14&gt;M16),AND(M86="JA",Eingabeblatt!$I$10="NEIN")),L19,L19+M18),0))),L19)</f>
        <v>0</v>
      </c>
      <c r="N19" s="1051">
        <f ca="1">IF(N4&lt;&gt;"",IF(DATE($D$2,MONTH($C$2),N$4)&lt;=Eingabeblatt!$I$8,IF(OR(AND(N$86="JA",N14&gt;N16),AND(N86="JA",Eingabeblatt!$I$10="NEIN")),M19,M19+N18),IF(M19=0,0,IF(OR(COUNT(N7:N12,N22:N38)&gt;0,AND(COUNT(N7:N12,N22:N38)=0,N16=0)),IF(OR(AND(N$86="JA",N14&gt;N16),AND(N86="JA",Eingabeblatt!$I$10="NEIN")),M19,M19+N18),0))),M19)</f>
        <v>0</v>
      </c>
      <c r="O19" s="1051">
        <f ca="1">IF(O4&lt;&gt;"",IF(DATE($D$2,MONTH($C$2),O$4)&lt;=Eingabeblatt!$I$8,IF(OR(AND(O$86="JA",O14&gt;O16),AND(O86="JA",Eingabeblatt!$I$10="NEIN")),N19,N19+O18),IF(N19=0,0,IF(OR(COUNT(O7:O12,O22:O38)&gt;0,AND(COUNT(O7:O12,O22:O38)=0,O16=0)),IF(OR(AND(O$86="JA",O14&gt;O16),AND(O86="JA",Eingabeblatt!$I$10="NEIN")),N19,N19+O18),0))),N19)</f>
        <v>0</v>
      </c>
      <c r="P19" s="1051">
        <f ca="1">IF(P4&lt;&gt;"",IF(DATE($D$2,MONTH($C$2),P$4)&lt;=Eingabeblatt!$I$8,IF(OR(AND(P$86="JA",P14&gt;P16),AND(P86="JA",Eingabeblatt!$I$10="NEIN")),O19,O19+P18),IF(O19=0,0,IF(OR(COUNT(P7:P12,P22:P38)&gt;0,AND(COUNT(P7:P12,P22:P38)=0,P16=0)),IF(OR(AND(P$86="JA",P14&gt;P16),AND(P86="JA",Eingabeblatt!$I$10="NEIN")),O19,O19+P18),0))),O19)</f>
        <v>0</v>
      </c>
      <c r="Q19" s="1051">
        <f ca="1">IF(Q4&lt;&gt;"",IF(DATE($D$2,MONTH($C$2),Q$4)&lt;=Eingabeblatt!$I$8,IF(OR(AND(Q$86="JA",Q14&gt;Q16),AND(Q86="JA",Eingabeblatt!$I$10="NEIN")),P19,P19+Q18),IF(P19=0,0,IF(OR(COUNT(Q7:Q12,Q22:Q38)&gt;0,AND(COUNT(Q7:Q12,Q22:Q38)=0,Q16=0)),IF(OR(AND(Q$86="JA",Q14&gt;Q16),AND(Q86="JA",Eingabeblatt!$I$10="NEIN")),P19,P19+Q18),0))),P19)</f>
        <v>0</v>
      </c>
      <c r="R19" s="1051">
        <f ca="1">IF(R4&lt;&gt;"",IF(DATE($D$2,MONTH($C$2),R$4)&lt;=Eingabeblatt!$I$8,IF(OR(AND(R$86="JA",R14&gt;R16),AND(R86="JA",Eingabeblatt!$I$10="NEIN")),Q19,Q19+R18),IF(Q19=0,0,IF(OR(COUNT(R7:R12,R22:R38)&gt;0,AND(COUNT(R7:R12,R22:R38)=0,R16=0)),IF(OR(AND(R$86="JA",R14&gt;R16),AND(R86="JA",Eingabeblatt!$I$10="NEIN")),Q19,Q19+R18),0))),Q19)</f>
        <v>0</v>
      </c>
      <c r="S19" s="1051">
        <f ca="1">IF(S4&lt;&gt;"",IF(DATE($D$2,MONTH($C$2),S$4)&lt;=Eingabeblatt!$I$8,IF(OR(AND(S$86="JA",S14&gt;S16),AND(S86="JA",Eingabeblatt!$I$10="NEIN")),R19,R19+S18),IF(R19=0,0,IF(OR(COUNT(S7:S12,S22:S38)&gt;0,AND(COUNT(S7:S12,S22:S38)=0,S16=0)),IF(OR(AND(S$86="JA",S14&gt;S16),AND(S86="JA",Eingabeblatt!$I$10="NEIN")),R19,R19+S18),0))),R19)</f>
        <v>0</v>
      </c>
      <c r="T19" s="1051">
        <f ca="1">IF(T4&lt;&gt;"",IF(DATE($D$2,MONTH($C$2),T$4)&lt;=Eingabeblatt!$I$8,IF(OR(AND(T$86="JA",T14&gt;T16),AND(T86="JA",Eingabeblatt!$I$10="NEIN")),S19,S19+T18),IF(S19=0,0,IF(OR(COUNT(T7:T12,T22:T38)&gt;0,AND(COUNT(T7:T12,T22:T38)=0,T16=0)),IF(OR(AND(T$86="JA",T14&gt;T16),AND(T86="JA",Eingabeblatt!$I$10="NEIN")),S19,S19+T18),0))),S19)</f>
        <v>0</v>
      </c>
      <c r="U19" s="1051">
        <f ca="1">IF(U4&lt;&gt;"",IF(DATE($D$2,MONTH($C$2),U$4)&lt;=Eingabeblatt!$I$8,IF(OR(AND(U$86="JA",U14&gt;U16),AND(U86="JA",Eingabeblatt!$I$10="NEIN")),T19,T19+U18),IF(T19=0,0,IF(OR(COUNT(U7:U12,U22:U38)&gt;0,AND(COUNT(U7:U12,U22:U38)=0,U16=0)),IF(OR(AND(U$86="JA",U14&gt;U16),AND(U86="JA",Eingabeblatt!$I$10="NEIN")),T19,T19+U18),0))),T19)</f>
        <v>0</v>
      </c>
      <c r="V19" s="1051">
        <f ca="1">IF(V4&lt;&gt;"",IF(DATE($D$2,MONTH($C$2),V$4)&lt;=Eingabeblatt!$I$8,IF(OR(AND(V$86="JA",V14&gt;V16),AND(V86="JA",Eingabeblatt!$I$10="NEIN")),U19,U19+V18),IF(U19=0,0,IF(OR(COUNT(V7:V12,V22:V38)&gt;0,AND(COUNT(V7:V12,V22:V38)=0,V16=0)),IF(OR(AND(V$86="JA",V14&gt;V16),AND(V86="JA",Eingabeblatt!$I$10="NEIN")),U19,U19+V18),0))),U19)</f>
        <v>0</v>
      </c>
      <c r="W19" s="1051">
        <f ca="1">IF(W4&lt;&gt;"",IF(DATE($D$2,MONTH($C$2),W$4)&lt;=Eingabeblatt!$I$8,IF(OR(AND(W$86="JA",W14&gt;W16),AND(W86="JA",Eingabeblatt!$I$10="NEIN")),V19,V19+W18),IF(V19=0,0,IF(OR(COUNT(W7:W12,W22:W38)&gt;0,AND(COUNT(W7:W12,W22:W38)=0,W16=0)),IF(OR(AND(W$86="JA",W14&gt;W16),AND(W86="JA",Eingabeblatt!$I$10="NEIN")),V19,V19+W18),0))),V19)</f>
        <v>0</v>
      </c>
      <c r="X19" s="1051">
        <f ca="1">IF(X4&lt;&gt;"",IF(DATE($D$2,MONTH($C$2),X$4)&lt;=Eingabeblatt!$I$8,IF(OR(AND(X$86="JA",X14&gt;X16),AND(X86="JA",Eingabeblatt!$I$10="NEIN")),W19,W19+X18),IF(W19=0,0,IF(OR(COUNT(X7:X12,X22:X38)&gt;0,AND(COUNT(X7:X12,X22:X38)=0,X16=0)),IF(OR(AND(X$86="JA",X14&gt;X16),AND(X86="JA",Eingabeblatt!$I$10="NEIN")),W19,W19+X18),0))),W19)</f>
        <v>0</v>
      </c>
      <c r="Y19" s="1051">
        <f ca="1">IF(Y4&lt;&gt;"",IF(DATE($D$2,MONTH($C$2),Y$4)&lt;=Eingabeblatt!$I$8,IF(OR(AND(Y$86="JA",Y14&gt;Y16),AND(Y86="JA",Eingabeblatt!$I$10="NEIN")),X19,X19+Y18),IF(X19=0,0,IF(OR(COUNT(Y7:Y12,Y22:Y38)&gt;0,AND(COUNT(Y7:Y12,Y22:Y38)=0,Y16=0)),IF(OR(AND(Y$86="JA",Y14&gt;Y16),AND(Y86="JA",Eingabeblatt!$I$10="NEIN")),X19,X19+Y18),0))),X19)</f>
        <v>0</v>
      </c>
      <c r="Z19" s="1051">
        <f ca="1">IF(Z4&lt;&gt;"",IF(DATE($D$2,MONTH($C$2),Z$4)&lt;=Eingabeblatt!$I$8,IF(OR(AND(Z$86="JA",Z14&gt;Z16),AND(Z86="JA",Eingabeblatt!$I$10="NEIN")),Y19,Y19+Z18),IF(Y19=0,0,IF(OR(COUNT(Z7:Z12,Z22:Z38)&gt;0,AND(COUNT(Z7:Z12,Z22:Z38)=0,Z16=0)),IF(OR(AND(Z$86="JA",Z14&gt;Z16),AND(Z86="JA",Eingabeblatt!$I$10="NEIN")),Y19,Y19+Z18),0))),Y19)</f>
        <v>0</v>
      </c>
      <c r="AA19" s="1051">
        <f ca="1">IF(AA4&lt;&gt;"",IF(DATE($D$2,MONTH($C$2),AA$4)&lt;=Eingabeblatt!$I$8,IF(OR(AND(AA$86="JA",AA14&gt;AA16),AND(AA86="JA",Eingabeblatt!$I$10="NEIN")),Z19,Z19+AA18),IF(Z19=0,0,IF(OR(COUNT(AA7:AA12,AA22:AA38)&gt;0,AND(COUNT(AA7:AA12,AA22:AA38)=0,AA16=0)),IF(OR(AND(AA$86="JA",AA14&gt;AA16),AND(AA86="JA",Eingabeblatt!$I$10="NEIN")),Z19,Z19+AA18),0))),Z19)</f>
        <v>0</v>
      </c>
      <c r="AB19" s="1051">
        <f ca="1">IF(AB4&lt;&gt;"",IF(DATE($D$2,MONTH($C$2),AB$4)&lt;=Eingabeblatt!$I$8,IF(OR(AND(AB$86="JA",AB14&gt;AB16),AND(AB86="JA",Eingabeblatt!$I$10="NEIN")),AA19,AA19+AB18),IF(AA19=0,0,IF(OR(COUNT(AB7:AB12,AB22:AB38)&gt;0,AND(COUNT(AB7:AB12,AB22:AB38)=0,AB16=0)),IF(OR(AND(AB$86="JA",AB14&gt;AB16),AND(AB86="JA",Eingabeblatt!$I$10="NEIN")),AA19,AA19+AB18),0))),AA19)</f>
        <v>0</v>
      </c>
      <c r="AC19" s="1051">
        <f ca="1">IF(AC4&lt;&gt;"",IF(DATE($D$2,MONTH($C$2),AC$4)&lt;=Eingabeblatt!$I$8,IF(OR(AND(AC$86="JA",AC14&gt;AC16),AND(AC86="JA",Eingabeblatt!$I$10="NEIN")),AB19,AB19+AC18),IF(AB19=0,0,IF(OR(COUNT(AC7:AC12,AC22:AC38)&gt;0,AND(COUNT(AC7:AC12,AC22:AC38)=0,AC16=0)),IF(OR(AND(AC$86="JA",AC14&gt;AC16),AND(AC86="JA",Eingabeblatt!$I$10="NEIN")),AB19,AB19+AC18),0))),AB19)</f>
        <v>0</v>
      </c>
      <c r="AD19" s="1051">
        <f ca="1">IF(AD4&lt;&gt;"",IF(DATE($D$2,MONTH($C$2),AD$4)&lt;=Eingabeblatt!$I$8,IF(OR(AND(AD$86="JA",AD14&gt;AD16),AND(AD86="JA",Eingabeblatt!$I$10="NEIN")),AC19,AC19+AD18),IF(AC19=0,0,IF(OR(COUNT(AD7:AD12,AD22:AD38)&gt;0,AND(COUNT(AD7:AD12,AD22:AD38)=0,AD16=0)),IF(OR(AND(AD$86="JA",AD14&gt;AD16),AND(AD86="JA",Eingabeblatt!$I$10="NEIN")),AC19,AC19+AD18),0))),AC19)</f>
        <v>0</v>
      </c>
      <c r="AE19" s="1051">
        <f ca="1">IF(AE4&lt;&gt;"",IF(DATE($D$2,MONTH($C$2),AE$4)&lt;=Eingabeblatt!$I$8,IF(OR(AND(AE$86="JA",AE14&gt;AE16),AND(AE86="JA",Eingabeblatt!$I$10="NEIN")),AD19,AD19+AE18),IF(AD19=0,0,IF(OR(COUNT(AE7:AE12,AE22:AE38)&gt;0,AND(COUNT(AE7:AE12,AE22:AE38)=0,AE16=0)),IF(OR(AND(AE$86="JA",AE14&gt;AE16),AND(AE86="JA",Eingabeblatt!$I$10="NEIN")),AD19,AD19+AE18),0))),AD19)</f>
        <v>0</v>
      </c>
      <c r="AF19" s="1051">
        <f ca="1">IF(AF4&lt;&gt;"",IF(DATE($D$2,MONTH($C$2),AF$4)&lt;=Eingabeblatt!$I$8,IF(OR(AND(AF$86="JA",AF14&gt;AF16),AND(AF86="JA",Eingabeblatt!$I$10="NEIN")),AE19,AE19+AF18),IF(AE19=0,0,IF(OR(COUNT(AF7:AF12,AF22:AF38)&gt;0,AND(COUNT(AF7:AF12,AF22:AF38)=0,AF16=0)),IF(OR(AND(AF$86="JA",AF14&gt;AF16),AND(AF86="JA",Eingabeblatt!$I$10="NEIN")),AE19,AE19+AF18),0))),AE19)</f>
        <v>0</v>
      </c>
      <c r="AG19" s="1051">
        <f ca="1">IF(AG4&lt;&gt;"",IF(DATE($D$2,MONTH($C$2),AG$4)&lt;=Eingabeblatt!$I$8,IF(OR(AND(AG$86="JA",AG14&gt;AG16),AND(AG86="JA",Eingabeblatt!$I$10="NEIN")),AF19,AF19+AG18),IF(AF19=0,0,IF(OR(COUNT(AG7:AG12,AG22:AG38)&gt;0,AND(COUNT(AG7:AG12,AG22:AG38)=0,AG16=0)),IF(OR(AND(AG$86="JA",AG14&gt;AG16),AND(AG86="JA",Eingabeblatt!$I$10="NEIN")),AF19,AF19+AG18),0))),AF19)</f>
        <v>0</v>
      </c>
      <c r="AH19" s="1051">
        <f ca="1">IF(AH4&lt;&gt;"",IF(DATE($D$2,MONTH($C$2),AH$4)&lt;=Eingabeblatt!$I$8,IF(OR(AND(AH$86="JA",AH14&gt;AH16),AND(AH86="JA",Eingabeblatt!$I$10="NEIN")),AG19,AG19+AH18),IF(AG19=0,0,IF(OR(COUNT(AH7:AH12,AH22:AH38)&gt;0,AND(COUNT(AH7:AH12,AH22:AH38)=0,AH16=0)),IF(OR(AND(AH$86="JA",AH14&gt;AH16),AND(AH86="JA",Eingabeblatt!$I$10="NEIN")),AG19,AG19+AH18),0))),AG19)</f>
        <v>0</v>
      </c>
      <c r="AI19" s="1052">
        <f ca="1">IF(AI4&lt;&gt;"",IF(DATE($D$2,MONTH($C$2),AI$4)&lt;=Eingabeblatt!$I$8,IF(OR(AND(AI$86="JA",AI14&gt;AI16),AND(AI86="JA",Eingabeblatt!$I$10="NEIN")),AH19,AH19+AI18),IF(AH19=0,0,IF(OR(COUNT(AI7:AI12,AI22:AI38)&gt;0,AND(COUNT(AI7:AI12,AI22:AI38)=0,AI16=0)),IF(OR(AND(AI$86="JA",AI14&gt;AI16),AND(AI86="JA",Eingabeblatt!$I$10="NEIN")),AH19,AH19+AI18),0))),AH19)</f>
        <v>0</v>
      </c>
      <c r="AJ19" s="1053">
        <f ca="1">AI19</f>
        <v>0</v>
      </c>
      <c r="AK19" s="904">
        <f ca="1">AI19</f>
        <v>0</v>
      </c>
      <c r="AL19" s="905" t="s">
        <v>422</v>
      </c>
      <c r="AM19" s="905"/>
      <c r="AN19" s="906"/>
      <c r="AO19" s="781"/>
      <c r="AP19" s="781"/>
      <c r="AQ19" s="781"/>
      <c r="AR19" s="781"/>
      <c r="AS19" s="907"/>
      <c r="AT19" s="781"/>
    </row>
    <row r="20" spans="1:46" ht="22.5" hidden="1" customHeight="1" outlineLevel="1" x14ac:dyDescent="0.2">
      <c r="B20" s="143"/>
      <c r="C20" s="953" t="str">
        <f>Januar!C20</f>
        <v>Feiertagssaldo</v>
      </c>
      <c r="D20" s="954">
        <f>Juli!AJ20</f>
        <v>0</v>
      </c>
      <c r="E20" s="955">
        <f t="shared" ref="E20:AI20" si="9">IF(VLOOKUP(DATE($D$2,MONTH($C$2),E$4),Ferienanspruch,3,TRUE)=100,D20-E21,IF(VLOOKUP(DATE($D$2,MONTH($C$2),E$4),Feiertagsanspruch,6,TRUE)*24&lt;Normtagesarbeitszeit*24,IF((E17-E15)&lt;0,D20-E21+(E15-E17),IF(E17&gt;0,D20-E21,D20-E21+E15)),IF((E17-E15)&lt;0,D20-E21+(E15-E17),IF(E17&gt;0,D20-E21,D20-E21+E15))))</f>
        <v>0</v>
      </c>
      <c r="F20" s="956">
        <f t="shared" si="9"/>
        <v>0</v>
      </c>
      <c r="G20" s="956">
        <f t="shared" si="9"/>
        <v>0</v>
      </c>
      <c r="H20" s="956">
        <f t="shared" si="9"/>
        <v>0</v>
      </c>
      <c r="I20" s="956">
        <f t="shared" si="9"/>
        <v>0</v>
      </c>
      <c r="J20" s="956">
        <f t="shared" si="9"/>
        <v>0</v>
      </c>
      <c r="K20" s="956">
        <f t="shared" si="9"/>
        <v>0</v>
      </c>
      <c r="L20" s="956">
        <f t="shared" si="9"/>
        <v>0</v>
      </c>
      <c r="M20" s="956">
        <f t="shared" si="9"/>
        <v>0</v>
      </c>
      <c r="N20" s="956">
        <f t="shared" si="9"/>
        <v>0</v>
      </c>
      <c r="O20" s="956">
        <f t="shared" si="9"/>
        <v>0</v>
      </c>
      <c r="P20" s="956">
        <f t="shared" si="9"/>
        <v>0</v>
      </c>
      <c r="Q20" s="956">
        <f t="shared" si="9"/>
        <v>0</v>
      </c>
      <c r="R20" s="956">
        <f t="shared" si="9"/>
        <v>0</v>
      </c>
      <c r="S20" s="956">
        <f t="shared" si="9"/>
        <v>0</v>
      </c>
      <c r="T20" s="956">
        <f t="shared" si="9"/>
        <v>0</v>
      </c>
      <c r="U20" s="956">
        <f t="shared" si="9"/>
        <v>0</v>
      </c>
      <c r="V20" s="956">
        <f t="shared" si="9"/>
        <v>0</v>
      </c>
      <c r="W20" s="956">
        <f t="shared" si="9"/>
        <v>0</v>
      </c>
      <c r="X20" s="956">
        <f t="shared" si="9"/>
        <v>0</v>
      </c>
      <c r="Y20" s="956">
        <f t="shared" si="9"/>
        <v>0</v>
      </c>
      <c r="Z20" s="956">
        <f t="shared" si="9"/>
        <v>0</v>
      </c>
      <c r="AA20" s="956">
        <f t="shared" si="9"/>
        <v>0</v>
      </c>
      <c r="AB20" s="956">
        <f t="shared" si="9"/>
        <v>0</v>
      </c>
      <c r="AC20" s="956">
        <f t="shared" si="9"/>
        <v>0</v>
      </c>
      <c r="AD20" s="956">
        <f t="shared" si="9"/>
        <v>0</v>
      </c>
      <c r="AE20" s="956">
        <f t="shared" si="9"/>
        <v>0</v>
      </c>
      <c r="AF20" s="956">
        <f t="shared" si="9"/>
        <v>0</v>
      </c>
      <c r="AG20" s="956">
        <f t="shared" si="9"/>
        <v>0</v>
      </c>
      <c r="AH20" s="956">
        <f t="shared" si="9"/>
        <v>0</v>
      </c>
      <c r="AI20" s="957">
        <f t="shared" si="9"/>
        <v>0</v>
      </c>
      <c r="AJ20" s="142">
        <f>AI20</f>
        <v>0</v>
      </c>
      <c r="AK20" s="912">
        <f>AJ20</f>
        <v>0</v>
      </c>
      <c r="AL20" s="141" t="s">
        <v>423</v>
      </c>
      <c r="AM20" s="91"/>
      <c r="AN20" s="113"/>
      <c r="AO20" s="113"/>
      <c r="AP20" s="113"/>
      <c r="AQ20" s="89"/>
      <c r="AR20" s="89"/>
    </row>
    <row r="21" spans="1:46" s="88" customFormat="1" hidden="1" outlineLevel="1" x14ac:dyDescent="0.2">
      <c r="A21" s="88" t="s">
        <v>424</v>
      </c>
      <c r="B21" s="143"/>
      <c r="C21" s="1054" t="str">
        <f>Januar!C21</f>
        <v>Komp.Feiertg.f.Teilzeiter</v>
      </c>
      <c r="D21" s="1055"/>
      <c r="E21" s="1056"/>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8"/>
      <c r="AJ21" s="1059">
        <f>SUM(D21:AI21)</f>
        <v>0</v>
      </c>
      <c r="AK21" s="1060">
        <f>AJ21</f>
        <v>0</v>
      </c>
      <c r="AL21" s="144" t="s">
        <v>359</v>
      </c>
      <c r="AM21" s="145"/>
      <c r="AN21" s="146"/>
      <c r="AO21" s="146"/>
      <c r="AP21" s="146"/>
      <c r="AQ21" s="147"/>
      <c r="AR21" s="147"/>
      <c r="AT21" s="8"/>
    </row>
    <row r="22" spans="1:46" s="88" customFormat="1" collapsed="1" x14ac:dyDescent="0.2">
      <c r="A22" s="148"/>
      <c r="B22" s="143"/>
      <c r="C22" s="149" t="str">
        <f>Januar!C22</f>
        <v>Ferienbezug</v>
      </c>
      <c r="D22" s="150">
        <f>Juli!AK22</f>
        <v>8.0500000000000007</v>
      </c>
      <c r="E22" s="913"/>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322"/>
      <c r="AJ22" s="151">
        <f>SUM(E22:AI22)</f>
        <v>0</v>
      </c>
      <c r="AK22" s="152">
        <f>ROUND(D22-AJ22,8)</f>
        <v>8.0500000000000007</v>
      </c>
      <c r="AL22" s="144" t="s">
        <v>425</v>
      </c>
      <c r="AM22" s="145" t="s">
        <v>426</v>
      </c>
      <c r="AN22" s="146"/>
      <c r="AO22" s="146"/>
      <c r="AP22" s="146"/>
      <c r="AQ22" s="147"/>
      <c r="AR22" s="147"/>
    </row>
    <row r="23" spans="1:46" s="88" customFormat="1" ht="22.5" hidden="1" customHeight="1" outlineLevel="1" x14ac:dyDescent="0.2">
      <c r="A23" s="148"/>
      <c r="B23" s="153">
        <f>Eingabeblatt!E29</f>
        <v>0</v>
      </c>
      <c r="C23" s="154" t="str">
        <f>Januar!C23</f>
        <v>Kompens. Arbeitszeit</v>
      </c>
      <c r="D23" s="155">
        <f>Juli!AK23</f>
        <v>0</v>
      </c>
      <c r="E23" s="913"/>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322"/>
      <c r="AJ23" s="151">
        <f>SUM(E23:AI23)</f>
        <v>0</v>
      </c>
      <c r="AK23" s="152">
        <f>IF(B23="",0,ROUND(B23+D23-AJ23,8))</f>
        <v>0</v>
      </c>
      <c r="AL23" s="144" t="s">
        <v>425</v>
      </c>
      <c r="AM23" s="145"/>
      <c r="AN23" s="146"/>
      <c r="AO23" s="692"/>
      <c r="AP23" s="146"/>
      <c r="AQ23" s="147"/>
      <c r="AR23" s="147"/>
    </row>
    <row r="24" spans="1:46" s="88" customFormat="1" ht="22.5" hidden="1" customHeight="1" outlineLevel="1" x14ac:dyDescent="0.2">
      <c r="A24" s="148" t="s">
        <v>424</v>
      </c>
      <c r="B24" s="156"/>
      <c r="C24" s="154" t="str">
        <f>Januar!C24</f>
        <v>Kompens. Überzeit</v>
      </c>
      <c r="D24" s="150">
        <f>Juli!AK24</f>
        <v>0</v>
      </c>
      <c r="E24" s="913"/>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322"/>
      <c r="AJ24" s="151">
        <f>SUM(E24:AI24)</f>
        <v>0</v>
      </c>
      <c r="AK24" s="152">
        <f>ROUND(D24+AJ85-AJ24,8)</f>
        <v>0</v>
      </c>
      <c r="AL24" s="157" t="s">
        <v>428</v>
      </c>
      <c r="AM24" s="145" t="s">
        <v>429</v>
      </c>
      <c r="AN24" s="146"/>
      <c r="AO24" s="692"/>
      <c r="AP24" s="146"/>
      <c r="AQ24" s="147"/>
      <c r="AR24" s="147"/>
    </row>
    <row r="25" spans="1:46" s="88" customFormat="1" collapsed="1" x14ac:dyDescent="0.2">
      <c r="A25" s="148"/>
      <c r="B25" s="156"/>
      <c r="C25" s="154" t="str">
        <f>Januar!C25</f>
        <v>Krankheit</v>
      </c>
      <c r="D25" s="158">
        <f>Juli!AK25</f>
        <v>0</v>
      </c>
      <c r="E25" s="913"/>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322"/>
      <c r="AJ25" s="151">
        <f>SUM(E25:AI25)</f>
        <v>0</v>
      </c>
      <c r="AK25" s="152">
        <f t="shared" ref="AK25:AK30" si="10">ROUND(B25+D25+AJ25,8)</f>
        <v>0</v>
      </c>
      <c r="AL25" s="144" t="s">
        <v>359</v>
      </c>
      <c r="AM25" s="145"/>
      <c r="AN25" s="146"/>
      <c r="AO25" s="146"/>
      <c r="AP25" s="147"/>
      <c r="AQ25" s="147"/>
      <c r="AR25" s="147"/>
    </row>
    <row r="26" spans="1:46" s="88" customFormat="1" x14ac:dyDescent="0.2">
      <c r="A26" s="148"/>
      <c r="B26" s="156"/>
      <c r="C26" s="154" t="str">
        <f>Januar!C26</f>
        <v>Unfall</v>
      </c>
      <c r="D26" s="158">
        <f>Juli!AK26</f>
        <v>0</v>
      </c>
      <c r="E26" s="913"/>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322"/>
      <c r="AJ26" s="151">
        <f>SUM(E26:AI26)</f>
        <v>0</v>
      </c>
      <c r="AK26" s="152">
        <f t="shared" si="10"/>
        <v>0</v>
      </c>
      <c r="AL26" s="144" t="s">
        <v>359</v>
      </c>
      <c r="AM26" s="145" t="s">
        <v>430</v>
      </c>
      <c r="AN26" s="146"/>
      <c r="AO26" s="146"/>
      <c r="AP26" s="146"/>
      <c r="AQ26" s="147"/>
      <c r="AR26" s="147"/>
    </row>
    <row r="27" spans="1:46" s="88" customFormat="1" x14ac:dyDescent="0.2">
      <c r="A27" s="148"/>
      <c r="B27" s="156"/>
      <c r="C27" s="154" t="str">
        <f>Januar!C27</f>
        <v>Militär / Zivildienst</v>
      </c>
      <c r="D27" s="158">
        <f>Juli!AK27</f>
        <v>0</v>
      </c>
      <c r="E27" s="913"/>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322"/>
      <c r="AJ27" s="151">
        <f t="shared" ref="AJ27:AJ35" si="11">SUM(E27:AI27)</f>
        <v>0</v>
      </c>
      <c r="AK27" s="152">
        <f t="shared" si="10"/>
        <v>0</v>
      </c>
      <c r="AL27" s="144" t="s">
        <v>359</v>
      </c>
      <c r="AM27" s="145"/>
      <c r="AN27" s="146"/>
      <c r="AO27" s="146"/>
      <c r="AP27" s="147"/>
      <c r="AQ27" s="147"/>
      <c r="AR27" s="147"/>
    </row>
    <row r="28" spans="1:46" s="88" customFormat="1" ht="22.5" hidden="1" customHeight="1" outlineLevel="2" x14ac:dyDescent="0.2">
      <c r="A28" s="148" t="s">
        <v>424</v>
      </c>
      <c r="B28" s="156"/>
      <c r="C28" s="154" t="str">
        <f>Januar!C28</f>
        <v>Nichtberufsunfall</v>
      </c>
      <c r="D28" s="158">
        <f>Juli!AK28</f>
        <v>0</v>
      </c>
      <c r="E28" s="913"/>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322"/>
      <c r="AJ28" s="151">
        <f t="shared" si="11"/>
        <v>0</v>
      </c>
      <c r="AK28" s="152">
        <f t="shared" si="10"/>
        <v>0</v>
      </c>
      <c r="AL28" s="157" t="s">
        <v>359</v>
      </c>
      <c r="AM28" s="145"/>
      <c r="AN28" s="146"/>
      <c r="AO28" s="692"/>
      <c r="AP28" s="146"/>
      <c r="AQ28" s="147"/>
      <c r="AR28" s="147"/>
    </row>
    <row r="29" spans="1:46" s="88" customFormat="1" collapsed="1" x14ac:dyDescent="0.2">
      <c r="A29" s="148"/>
      <c r="B29" s="156"/>
      <c r="C29" s="154" t="str">
        <f>Januar!C29</f>
        <v>Weiterbildung</v>
      </c>
      <c r="D29" s="158">
        <f>Juli!AK29</f>
        <v>0</v>
      </c>
      <c r="E29" s="913"/>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322"/>
      <c r="AJ29" s="151">
        <f t="shared" si="11"/>
        <v>0</v>
      </c>
      <c r="AK29" s="152">
        <f t="shared" si="10"/>
        <v>0</v>
      </c>
      <c r="AL29" s="144" t="s">
        <v>359</v>
      </c>
      <c r="AM29" s="145"/>
      <c r="AN29" s="146"/>
      <c r="AO29" s="146"/>
      <c r="AP29" s="147"/>
      <c r="AQ29" s="147"/>
      <c r="AR29" s="147"/>
    </row>
    <row r="30" spans="1:46" s="88" customFormat="1" x14ac:dyDescent="0.2">
      <c r="A30" s="148"/>
      <c r="B30" s="156"/>
      <c r="C30" s="154" t="str">
        <f>Januar!C30</f>
        <v>Unbezahlter Urlaub</v>
      </c>
      <c r="D30" s="158">
        <f>Juli!AK30</f>
        <v>0</v>
      </c>
      <c r="E30" s="913"/>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322"/>
      <c r="AJ30" s="151">
        <f t="shared" si="11"/>
        <v>0</v>
      </c>
      <c r="AK30" s="152">
        <f t="shared" si="10"/>
        <v>0</v>
      </c>
      <c r="AL30" s="144" t="s">
        <v>359</v>
      </c>
      <c r="AM30" s="145"/>
      <c r="AN30" s="146"/>
      <c r="AO30" s="146"/>
      <c r="AP30" s="147"/>
      <c r="AQ30" s="147"/>
      <c r="AR30" s="147"/>
    </row>
    <row r="31" spans="1:46" s="88" customFormat="1" x14ac:dyDescent="0.2">
      <c r="A31" s="148"/>
      <c r="B31" s="159">
        <f>IF(Eingabeblatt!C183="OK",Eingabeblatt!A183,"  Fehler")</f>
        <v>0</v>
      </c>
      <c r="C31" s="154" t="str">
        <f>Januar!C31</f>
        <v>Bezahlter Urlaub</v>
      </c>
      <c r="D31" s="158">
        <f>Juli!AK31</f>
        <v>0</v>
      </c>
      <c r="E31" s="913"/>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322"/>
      <c r="AJ31" s="151">
        <f t="shared" si="11"/>
        <v>0</v>
      </c>
      <c r="AK31" s="160">
        <f>ROUND(B31+D31-AJ31,8)</f>
        <v>0</v>
      </c>
      <c r="AL31" s="144" t="s">
        <v>425</v>
      </c>
      <c r="AM31" s="145"/>
      <c r="AN31" s="146"/>
      <c r="AO31" s="146"/>
      <c r="AP31" s="147"/>
      <c r="AQ31" s="147"/>
      <c r="AR31" s="147"/>
    </row>
    <row r="32" spans="1:46" s="88" customFormat="1" x14ac:dyDescent="0.2">
      <c r="A32" s="148"/>
      <c r="B32" s="159">
        <f>IF(Eingabeblatt!C184="OK",Eingabeblatt!A184,"  Fehler")</f>
        <v>0</v>
      </c>
      <c r="C32" s="161" t="str">
        <f>Januar!C32</f>
        <v>Kaderarbeitszeit</v>
      </c>
      <c r="D32" s="162">
        <f>Juli!AK32</f>
        <v>0</v>
      </c>
      <c r="E32" s="914"/>
      <c r="F32" s="915"/>
      <c r="G32" s="915"/>
      <c r="H32" s="915"/>
      <c r="I32" s="915"/>
      <c r="J32" s="915"/>
      <c r="K32" s="915"/>
      <c r="L32" s="915"/>
      <c r="M32" s="915"/>
      <c r="N32" s="915"/>
      <c r="O32" s="915"/>
      <c r="P32" s="915"/>
      <c r="Q32" s="915"/>
      <c r="R32" s="915"/>
      <c r="S32" s="915"/>
      <c r="T32" s="915"/>
      <c r="U32" s="915"/>
      <c r="V32" s="915"/>
      <c r="W32" s="915"/>
      <c r="X32" s="915"/>
      <c r="Y32" s="915"/>
      <c r="Z32" s="915"/>
      <c r="AA32" s="915"/>
      <c r="AB32" s="915"/>
      <c r="AC32" s="915"/>
      <c r="AD32" s="915"/>
      <c r="AE32" s="915"/>
      <c r="AF32" s="915"/>
      <c r="AG32" s="915"/>
      <c r="AH32" s="915"/>
      <c r="AI32" s="916"/>
      <c r="AJ32" s="163">
        <f t="shared" si="11"/>
        <v>0</v>
      </c>
      <c r="AK32" s="164">
        <f>ROUND(B32+D32-AJ32,8)</f>
        <v>0</v>
      </c>
      <c r="AL32" s="157" t="s">
        <v>425</v>
      </c>
      <c r="AM32" s="145"/>
      <c r="AN32" s="146"/>
      <c r="AO32" s="146"/>
      <c r="AP32" s="146"/>
      <c r="AQ32" s="147"/>
      <c r="AR32" s="147"/>
    </row>
    <row r="33" spans="1:46" ht="22.5" hidden="1" customHeight="1" outlineLevel="1" x14ac:dyDescent="0.2">
      <c r="A33" s="165" t="s">
        <v>424</v>
      </c>
      <c r="B33" s="156">
        <f>IF(Eingabeblatt!C185="OK",Eingabeblatt!A185,"  Fehler")</f>
        <v>0</v>
      </c>
      <c r="C33" s="166" t="str">
        <f>Januar!C33</f>
        <v>Nebenbeschäftigung</v>
      </c>
      <c r="D33" s="162"/>
      <c r="E33" s="167"/>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9"/>
      <c r="AJ33" s="140">
        <f t="shared" si="11"/>
        <v>0</v>
      </c>
      <c r="AK33" s="917">
        <f>ROUND(B33+D33-AJ33,8)</f>
        <v>0</v>
      </c>
      <c r="AL33" s="157" t="s">
        <v>425</v>
      </c>
      <c r="AM33" s="91"/>
      <c r="AN33" s="113"/>
      <c r="AO33" s="692"/>
      <c r="AP33" s="113"/>
      <c r="AQ33" s="89"/>
      <c r="AR33" s="89"/>
      <c r="AT33" s="88"/>
    </row>
    <row r="34" spans="1:46" ht="22.5" hidden="1" customHeight="1" outlineLevel="1" x14ac:dyDescent="0.2">
      <c r="A34" s="165"/>
      <c r="B34" s="156">
        <f>IF(Eingabeblatt!C182="OK",Eingabeblatt!A182,"  Fehler")</f>
        <v>0</v>
      </c>
      <c r="C34" s="170" t="str">
        <f>Januar!C34</f>
        <v>D A G</v>
      </c>
      <c r="D34" s="162">
        <f>Juli!AK34</f>
        <v>0</v>
      </c>
      <c r="E34" s="171"/>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3"/>
      <c r="AJ34" s="174">
        <f>SUM(E34:AI34)</f>
        <v>0</v>
      </c>
      <c r="AK34" s="152">
        <f>ROUND(B34+D34-AJ34,8)</f>
        <v>0</v>
      </c>
      <c r="AL34" s="157" t="s">
        <v>425</v>
      </c>
      <c r="AM34" s="91"/>
      <c r="AN34" s="113"/>
      <c r="AO34" s="692"/>
      <c r="AP34" s="113"/>
      <c r="AQ34" s="89"/>
      <c r="AR34" s="89"/>
    </row>
    <row r="35" spans="1:46" ht="22.5" hidden="1" customHeight="1" outlineLevel="1" x14ac:dyDescent="0.2">
      <c r="A35" s="165" t="s">
        <v>424</v>
      </c>
      <c r="B35" s="156"/>
      <c r="C35" s="170" t="str">
        <f>Januar!C35</f>
        <v>Diverses</v>
      </c>
      <c r="D35" s="162"/>
      <c r="E35" s="171"/>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c r="AJ35" s="174">
        <f t="shared" si="11"/>
        <v>0</v>
      </c>
      <c r="AK35" s="152">
        <f>ROUND(B35+D35+AJ35,8)</f>
        <v>0</v>
      </c>
      <c r="AL35" s="157" t="s">
        <v>359</v>
      </c>
      <c r="AM35" s="91"/>
      <c r="AN35" s="113"/>
      <c r="AO35" s="692"/>
      <c r="AP35" s="113"/>
      <c r="AQ35" s="89"/>
      <c r="AR35" s="89"/>
    </row>
    <row r="36" spans="1:46" ht="22.5" hidden="1" customHeight="1" outlineLevel="1" x14ac:dyDescent="0.2">
      <c r="A36" s="165" t="s">
        <v>424</v>
      </c>
      <c r="B36" s="156"/>
      <c r="C36" s="170" t="str">
        <f>Januar!C36</f>
        <v>freie Zeile 1</v>
      </c>
      <c r="D36" s="162"/>
      <c r="E36" s="171"/>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c r="AJ36" s="174">
        <f>SUM(E36:AI36)</f>
        <v>0</v>
      </c>
      <c r="AK36" s="152">
        <f>ROUND(B36+D36+AJ36,8)</f>
        <v>0</v>
      </c>
      <c r="AL36" s="157" t="s">
        <v>359</v>
      </c>
      <c r="AM36" s="91"/>
      <c r="AN36" s="113"/>
      <c r="AO36" s="692"/>
      <c r="AP36" s="113"/>
      <c r="AQ36" s="89"/>
      <c r="AR36" s="89"/>
    </row>
    <row r="37" spans="1:46" ht="22.5" hidden="1" customHeight="1" outlineLevel="1" x14ac:dyDescent="0.2">
      <c r="A37" s="165" t="s">
        <v>424</v>
      </c>
      <c r="B37" s="156"/>
      <c r="C37" s="170" t="str">
        <f>Januar!C37</f>
        <v>freie Zeile 2</v>
      </c>
      <c r="D37" s="162"/>
      <c r="E37" s="171"/>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3"/>
      <c r="AJ37" s="174">
        <f>SUM(E37:AI37)</f>
        <v>0</v>
      </c>
      <c r="AK37" s="152">
        <f>ROUND(B37+D37+AJ37,8)</f>
        <v>0</v>
      </c>
      <c r="AL37" s="157" t="s">
        <v>359</v>
      </c>
      <c r="AM37" s="91"/>
      <c r="AN37" s="113"/>
      <c r="AO37" s="692"/>
      <c r="AP37" s="113"/>
      <c r="AQ37" s="89"/>
      <c r="AR37" s="89"/>
    </row>
    <row r="38" spans="1:46" ht="22.5" hidden="1" customHeight="1" outlineLevel="1" x14ac:dyDescent="0.2">
      <c r="A38" s="165" t="s">
        <v>424</v>
      </c>
      <c r="B38" s="156"/>
      <c r="C38" s="175" t="str">
        <f>Januar!C38</f>
        <v>freie Zeile 3</v>
      </c>
      <c r="D38" s="162"/>
      <c r="E38" s="176"/>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8"/>
      <c r="AJ38" s="142">
        <f>SUM(E38:AI38)</f>
        <v>0</v>
      </c>
      <c r="AK38" s="912">
        <f>ROUND(B38+D38+AJ38,8)</f>
        <v>0</v>
      </c>
      <c r="AL38" s="157" t="s">
        <v>359</v>
      </c>
      <c r="AM38" s="91"/>
      <c r="AN38" s="113"/>
      <c r="AO38" s="692"/>
      <c r="AP38" s="113"/>
      <c r="AQ38" s="89"/>
      <c r="AR38" s="89"/>
    </row>
    <row r="39" spans="1:46" s="34" customFormat="1" hidden="1" outlineLevel="1" x14ac:dyDescent="0.2">
      <c r="A39" s="179"/>
      <c r="B39" s="180"/>
      <c r="C39" s="918" t="str">
        <f>Januar!C39</f>
        <v>Arbeitszeit aufgeteilt</v>
      </c>
      <c r="D39" s="1061"/>
      <c r="E39" s="1062">
        <f>ROUND(SUM(E41:E84),8)</f>
        <v>0</v>
      </c>
      <c r="F39" s="1063">
        <f>ROUND(SUM(F41:F84),8)</f>
        <v>0</v>
      </c>
      <c r="G39" s="1063">
        <f>ROUND(SUM(G41:G84),8)</f>
        <v>0</v>
      </c>
      <c r="H39" s="1063">
        <f t="shared" ref="H39:AI39" si="12">ROUND(SUM(H41:H84),8)</f>
        <v>0</v>
      </c>
      <c r="I39" s="1063">
        <f t="shared" si="12"/>
        <v>0</v>
      </c>
      <c r="J39" s="1063">
        <f t="shared" si="12"/>
        <v>0</v>
      </c>
      <c r="K39" s="1063">
        <f t="shared" si="12"/>
        <v>0</v>
      </c>
      <c r="L39" s="1063">
        <f t="shared" si="12"/>
        <v>0</v>
      </c>
      <c r="M39" s="1063">
        <f t="shared" si="12"/>
        <v>0</v>
      </c>
      <c r="N39" s="1063">
        <f t="shared" si="12"/>
        <v>0</v>
      </c>
      <c r="O39" s="1063">
        <f t="shared" si="12"/>
        <v>0</v>
      </c>
      <c r="P39" s="1063">
        <f t="shared" si="12"/>
        <v>0</v>
      </c>
      <c r="Q39" s="1063">
        <f t="shared" si="12"/>
        <v>0</v>
      </c>
      <c r="R39" s="1063">
        <f t="shared" si="12"/>
        <v>0</v>
      </c>
      <c r="S39" s="1063">
        <f t="shared" si="12"/>
        <v>0</v>
      </c>
      <c r="T39" s="1063">
        <f t="shared" si="12"/>
        <v>0</v>
      </c>
      <c r="U39" s="1063">
        <f t="shared" si="12"/>
        <v>0</v>
      </c>
      <c r="V39" s="1063">
        <f t="shared" si="12"/>
        <v>0</v>
      </c>
      <c r="W39" s="1063">
        <f t="shared" si="12"/>
        <v>0</v>
      </c>
      <c r="X39" s="1063">
        <f t="shared" si="12"/>
        <v>0</v>
      </c>
      <c r="Y39" s="1063">
        <f t="shared" si="12"/>
        <v>0</v>
      </c>
      <c r="Z39" s="1063">
        <f t="shared" si="12"/>
        <v>0</v>
      </c>
      <c r="AA39" s="1063">
        <f t="shared" si="12"/>
        <v>0</v>
      </c>
      <c r="AB39" s="1063">
        <f t="shared" si="12"/>
        <v>0</v>
      </c>
      <c r="AC39" s="1063">
        <f t="shared" si="12"/>
        <v>0</v>
      </c>
      <c r="AD39" s="1063">
        <f t="shared" si="12"/>
        <v>0</v>
      </c>
      <c r="AE39" s="1063">
        <f t="shared" si="12"/>
        <v>0</v>
      </c>
      <c r="AF39" s="1063">
        <f t="shared" si="12"/>
        <v>0</v>
      </c>
      <c r="AG39" s="1063">
        <f t="shared" si="12"/>
        <v>0</v>
      </c>
      <c r="AH39" s="1063">
        <f t="shared" si="12"/>
        <v>0</v>
      </c>
      <c r="AI39" s="1064">
        <f t="shared" si="12"/>
        <v>0</v>
      </c>
      <c r="AJ39" s="969"/>
      <c r="AK39" s="1065"/>
      <c r="AL39" s="13"/>
      <c r="AM39" s="181"/>
      <c r="AN39" s="182"/>
      <c r="AT39" s="8"/>
    </row>
    <row r="40" spans="1:46" s="34" customFormat="1" ht="42" customHeight="1" collapsed="1" x14ac:dyDescent="0.2">
      <c r="A40" s="179"/>
      <c r="B40" s="180"/>
      <c r="C40" s="919" t="str">
        <f>Januar!C40</f>
        <v>in folgenden Bereichen nicht oder zuviel aufgeteilte Arbeitszeit</v>
      </c>
      <c r="D40" s="920"/>
      <c r="E40" s="921">
        <f t="shared" ref="E40:AI40" si="13">ROUND(IF(E13=E39,0,IF(E13&lt;&gt;0,E13-E39,0)),8)</f>
        <v>0</v>
      </c>
      <c r="F40" s="922">
        <f t="shared" si="13"/>
        <v>0</v>
      </c>
      <c r="G40" s="922">
        <f t="shared" si="13"/>
        <v>0</v>
      </c>
      <c r="H40" s="922">
        <f t="shared" si="13"/>
        <v>0</v>
      </c>
      <c r="I40" s="922">
        <f t="shared" si="13"/>
        <v>0</v>
      </c>
      <c r="J40" s="922">
        <f t="shared" si="13"/>
        <v>0</v>
      </c>
      <c r="K40" s="922">
        <f t="shared" si="13"/>
        <v>0</v>
      </c>
      <c r="L40" s="922">
        <f t="shared" si="13"/>
        <v>0</v>
      </c>
      <c r="M40" s="922">
        <f t="shared" si="13"/>
        <v>0</v>
      </c>
      <c r="N40" s="922">
        <f t="shared" si="13"/>
        <v>0</v>
      </c>
      <c r="O40" s="922">
        <f t="shared" si="13"/>
        <v>0</v>
      </c>
      <c r="P40" s="922">
        <f t="shared" si="13"/>
        <v>0</v>
      </c>
      <c r="Q40" s="922">
        <f t="shared" si="13"/>
        <v>0</v>
      </c>
      <c r="R40" s="922">
        <f t="shared" si="13"/>
        <v>0</v>
      </c>
      <c r="S40" s="922">
        <f t="shared" si="13"/>
        <v>0</v>
      </c>
      <c r="T40" s="922">
        <f t="shared" si="13"/>
        <v>0</v>
      </c>
      <c r="U40" s="922">
        <f t="shared" si="13"/>
        <v>0</v>
      </c>
      <c r="V40" s="922">
        <f t="shared" si="13"/>
        <v>0</v>
      </c>
      <c r="W40" s="922">
        <f t="shared" si="13"/>
        <v>0</v>
      </c>
      <c r="X40" s="922">
        <f t="shared" si="13"/>
        <v>0</v>
      </c>
      <c r="Y40" s="922">
        <f t="shared" si="13"/>
        <v>0</v>
      </c>
      <c r="Z40" s="922">
        <f t="shared" si="13"/>
        <v>0</v>
      </c>
      <c r="AA40" s="922">
        <f t="shared" si="13"/>
        <v>0</v>
      </c>
      <c r="AB40" s="922">
        <f t="shared" si="13"/>
        <v>0</v>
      </c>
      <c r="AC40" s="922">
        <f t="shared" si="13"/>
        <v>0</v>
      </c>
      <c r="AD40" s="922">
        <f t="shared" si="13"/>
        <v>0</v>
      </c>
      <c r="AE40" s="922">
        <f t="shared" si="13"/>
        <v>0</v>
      </c>
      <c r="AF40" s="922">
        <f t="shared" si="13"/>
        <v>0</v>
      </c>
      <c r="AG40" s="922">
        <f t="shared" si="13"/>
        <v>0</v>
      </c>
      <c r="AH40" s="922">
        <f t="shared" si="13"/>
        <v>0</v>
      </c>
      <c r="AI40" s="923">
        <f t="shared" si="13"/>
        <v>0</v>
      </c>
      <c r="AJ40" s="183"/>
      <c r="AK40" s="924"/>
      <c r="AL40" s="13"/>
      <c r="AM40" s="181"/>
      <c r="AN40" s="182"/>
    </row>
    <row r="41" spans="1:46" s="37" customFormat="1" x14ac:dyDescent="0.2">
      <c r="A41" s="148"/>
      <c r="B41" s="1066" t="str">
        <f>ctArbeitsgebiete!A9</f>
        <v>A01</v>
      </c>
      <c r="C41" s="1067" t="str">
        <f>IF(ctArbeitsgebiete!B9&lt;&gt;"",ctArbeitsgebiete!B9,"")</f>
        <v/>
      </c>
      <c r="D41" s="1068"/>
      <c r="E41" s="1069"/>
      <c r="F41" s="1070"/>
      <c r="G41" s="1070"/>
      <c r="H41" s="1070"/>
      <c r="I41" s="1070"/>
      <c r="J41" s="1070"/>
      <c r="K41" s="1070"/>
      <c r="L41" s="1070"/>
      <c r="M41" s="1070"/>
      <c r="N41" s="1070"/>
      <c r="O41" s="1070"/>
      <c r="P41" s="1070"/>
      <c r="Q41" s="1070"/>
      <c r="R41" s="1070"/>
      <c r="S41" s="1070"/>
      <c r="T41" s="1070"/>
      <c r="U41" s="1070"/>
      <c r="V41" s="1070"/>
      <c r="W41" s="1070"/>
      <c r="X41" s="1070"/>
      <c r="Y41" s="1070"/>
      <c r="Z41" s="1070"/>
      <c r="AA41" s="1070"/>
      <c r="AB41" s="1070"/>
      <c r="AC41" s="1070"/>
      <c r="AD41" s="1070"/>
      <c r="AE41" s="1070"/>
      <c r="AF41" s="1070"/>
      <c r="AG41" s="1070"/>
      <c r="AH41" s="1070"/>
      <c r="AI41" s="1071"/>
      <c r="AJ41" s="1072">
        <f>SUM(E41:AI41)</f>
        <v>0</v>
      </c>
      <c r="AK41" s="152"/>
      <c r="AL41" s="146"/>
      <c r="AM41" s="147"/>
      <c r="AN41" s="147"/>
      <c r="AO41" s="147"/>
      <c r="AP41" s="147"/>
      <c r="AQ41" s="147"/>
      <c r="AR41" s="147"/>
      <c r="AS41" s="88"/>
      <c r="AT41" s="34"/>
    </row>
    <row r="42" spans="1:46" x14ac:dyDescent="0.2">
      <c r="A42" s="165"/>
      <c r="B42" s="185" t="str">
        <f>ctArbeitsgebiete!A10</f>
        <v>A02</v>
      </c>
      <c r="C42" s="186" t="str">
        <f>IF(ctArbeitsgebiete!B10&lt;&gt;"",ctArbeitsgebiete!B10,"")</f>
        <v/>
      </c>
      <c r="D42" s="187"/>
      <c r="E42" s="913"/>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322"/>
      <c r="AJ42" s="188">
        <f t="shared" ref="AJ42:AJ84" si="14">SUM(E42:AI42)</f>
        <v>0</v>
      </c>
      <c r="AK42" s="152"/>
      <c r="AL42" s="113"/>
      <c r="AM42" s="89"/>
      <c r="AN42" s="89"/>
      <c r="AO42" s="89"/>
      <c r="AP42" s="89"/>
      <c r="AQ42" s="89"/>
      <c r="AR42" s="89"/>
      <c r="AT42" s="88"/>
    </row>
    <row r="43" spans="1:46" x14ac:dyDescent="0.2">
      <c r="A43" s="165"/>
      <c r="B43" s="185" t="str">
        <f>ctArbeitsgebiete!A11</f>
        <v>A03</v>
      </c>
      <c r="C43" s="186" t="str">
        <f>IF(ctArbeitsgebiete!B11&lt;&gt;"",ctArbeitsgebiete!B11,"")</f>
        <v/>
      </c>
      <c r="D43" s="187"/>
      <c r="E43" s="913"/>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22"/>
      <c r="AJ43" s="188">
        <f t="shared" si="14"/>
        <v>0</v>
      </c>
      <c r="AK43" s="152"/>
      <c r="AL43" s="113"/>
      <c r="AM43" s="89"/>
      <c r="AN43" s="89"/>
      <c r="AO43" s="89"/>
      <c r="AP43" s="89"/>
      <c r="AQ43" s="89"/>
      <c r="AR43" s="89"/>
    </row>
    <row r="44" spans="1:46" x14ac:dyDescent="0.2">
      <c r="A44" s="165"/>
      <c r="B44" s="185" t="str">
        <f>ctArbeitsgebiete!A12</f>
        <v>A04</v>
      </c>
      <c r="C44" s="186" t="str">
        <f>IF(ctArbeitsgebiete!B12&lt;&gt;"",ctArbeitsgebiete!B12,"")</f>
        <v/>
      </c>
      <c r="D44" s="187"/>
      <c r="E44" s="913"/>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322"/>
      <c r="AJ44" s="188">
        <f t="shared" si="14"/>
        <v>0</v>
      </c>
      <c r="AK44" s="152"/>
      <c r="AL44" s="113"/>
      <c r="AM44" s="89"/>
      <c r="AN44" s="89"/>
      <c r="AO44" s="89"/>
      <c r="AP44" s="89"/>
      <c r="AQ44" s="89"/>
      <c r="AR44" s="89"/>
    </row>
    <row r="45" spans="1:46" x14ac:dyDescent="0.2">
      <c r="A45" s="165"/>
      <c r="B45" s="185" t="str">
        <f>ctArbeitsgebiete!A13</f>
        <v>A05</v>
      </c>
      <c r="C45" s="186" t="str">
        <f>IF(ctArbeitsgebiete!B13&lt;&gt;"",ctArbeitsgebiete!B13,"")</f>
        <v/>
      </c>
      <c r="D45" s="187"/>
      <c r="E45" s="913"/>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322"/>
      <c r="AJ45" s="188">
        <f t="shared" si="14"/>
        <v>0</v>
      </c>
      <c r="AK45" s="152"/>
      <c r="AL45" s="113"/>
      <c r="AM45" s="89"/>
      <c r="AN45" s="89"/>
      <c r="AO45" s="89"/>
      <c r="AP45" s="89"/>
      <c r="AQ45" s="89"/>
      <c r="AR45" s="89"/>
    </row>
    <row r="46" spans="1:46" x14ac:dyDescent="0.2">
      <c r="A46" s="165"/>
      <c r="B46" s="185" t="str">
        <f>ctArbeitsgebiete!A14</f>
        <v>A06</v>
      </c>
      <c r="C46" s="186" t="str">
        <f>IF(ctArbeitsgebiete!B14&lt;&gt;"",ctArbeitsgebiete!B14,"")</f>
        <v/>
      </c>
      <c r="D46" s="187"/>
      <c r="E46" s="913"/>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322"/>
      <c r="AJ46" s="188">
        <f t="shared" si="14"/>
        <v>0</v>
      </c>
      <c r="AK46" s="152"/>
      <c r="AL46" s="113"/>
      <c r="AM46" s="89"/>
      <c r="AN46" s="89"/>
      <c r="AO46" s="89"/>
      <c r="AP46" s="89"/>
      <c r="AQ46" s="89"/>
      <c r="AR46" s="89"/>
    </row>
    <row r="47" spans="1:46" x14ac:dyDescent="0.2">
      <c r="A47" s="165"/>
      <c r="B47" s="185" t="str">
        <f>ctArbeitsgebiete!A15</f>
        <v>A07</v>
      </c>
      <c r="C47" s="186" t="str">
        <f>IF(ctArbeitsgebiete!B15&lt;&gt;"",ctArbeitsgebiete!B15,"")</f>
        <v/>
      </c>
      <c r="D47" s="187"/>
      <c r="E47" s="913"/>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322"/>
      <c r="AJ47" s="188">
        <f t="shared" si="14"/>
        <v>0</v>
      </c>
      <c r="AK47" s="152"/>
      <c r="AL47" s="113"/>
      <c r="AM47" s="89"/>
      <c r="AN47" s="89"/>
      <c r="AO47" s="89"/>
      <c r="AP47" s="89"/>
      <c r="AQ47" s="89"/>
      <c r="AR47" s="89"/>
    </row>
    <row r="48" spans="1:46" x14ac:dyDescent="0.2">
      <c r="A48" s="165"/>
      <c r="B48" s="185" t="str">
        <f>ctArbeitsgebiete!A16</f>
        <v>A08</v>
      </c>
      <c r="C48" s="186" t="str">
        <f>IF(ctArbeitsgebiete!B16&lt;&gt;"",ctArbeitsgebiete!B16,"")</f>
        <v/>
      </c>
      <c r="D48" s="187"/>
      <c r="E48" s="913"/>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322"/>
      <c r="AJ48" s="188">
        <f t="shared" si="14"/>
        <v>0</v>
      </c>
      <c r="AK48" s="152"/>
      <c r="AL48" s="113"/>
      <c r="AM48" s="89"/>
      <c r="AN48" s="89"/>
      <c r="AO48" s="89"/>
      <c r="AP48" s="89"/>
      <c r="AQ48" s="89"/>
      <c r="AR48" s="89"/>
    </row>
    <row r="49" spans="1:44" x14ac:dyDescent="0.2">
      <c r="A49" s="165"/>
      <c r="B49" s="185" t="str">
        <f>ctArbeitsgebiete!A17</f>
        <v>A09</v>
      </c>
      <c r="C49" s="186" t="str">
        <f>IF(ctArbeitsgebiete!B17&lt;&gt;"",ctArbeitsgebiete!B17,"")</f>
        <v/>
      </c>
      <c r="D49" s="187"/>
      <c r="E49" s="913"/>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322"/>
      <c r="AJ49" s="188">
        <f t="shared" si="14"/>
        <v>0</v>
      </c>
      <c r="AK49" s="152"/>
      <c r="AL49" s="113"/>
      <c r="AM49" s="89"/>
      <c r="AN49" s="89"/>
      <c r="AO49" s="89"/>
      <c r="AP49" s="89"/>
      <c r="AQ49" s="89"/>
      <c r="AR49" s="89"/>
    </row>
    <row r="50" spans="1:44" x14ac:dyDescent="0.2">
      <c r="A50" s="165"/>
      <c r="B50" s="185" t="str">
        <f>ctArbeitsgebiete!A18</f>
        <v>A10</v>
      </c>
      <c r="C50" s="186" t="str">
        <f>IF(ctArbeitsgebiete!B18&lt;&gt;"",ctArbeitsgebiete!B18,"")</f>
        <v/>
      </c>
      <c r="D50" s="187"/>
      <c r="E50" s="913"/>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322"/>
      <c r="AJ50" s="188">
        <f t="shared" si="14"/>
        <v>0</v>
      </c>
      <c r="AK50" s="152"/>
      <c r="AL50" s="113"/>
      <c r="AM50" s="89"/>
      <c r="AN50" s="89"/>
      <c r="AO50" s="89"/>
      <c r="AP50" s="89"/>
      <c r="AQ50" s="89"/>
      <c r="AR50" s="89"/>
    </row>
    <row r="51" spans="1:44" x14ac:dyDescent="0.2">
      <c r="A51" s="165"/>
      <c r="B51" s="185" t="str">
        <f>ctArbeitsgebiete!A19</f>
        <v>A11</v>
      </c>
      <c r="C51" s="186" t="str">
        <f>IF(ctArbeitsgebiete!B19&lt;&gt;"",ctArbeitsgebiete!B19,"")</f>
        <v/>
      </c>
      <c r="D51" s="187"/>
      <c r="E51" s="913"/>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322"/>
      <c r="AJ51" s="188">
        <f t="shared" si="14"/>
        <v>0</v>
      </c>
      <c r="AK51" s="152"/>
      <c r="AL51" s="113"/>
      <c r="AM51" s="89"/>
      <c r="AN51" s="89"/>
      <c r="AO51" s="89"/>
      <c r="AP51" s="89"/>
      <c r="AQ51" s="89"/>
      <c r="AR51" s="89"/>
    </row>
    <row r="52" spans="1:44" x14ac:dyDescent="0.2">
      <c r="A52" s="165"/>
      <c r="B52" s="185" t="str">
        <f>ctArbeitsgebiete!A20</f>
        <v>A12</v>
      </c>
      <c r="C52" s="186" t="str">
        <f>IF(ctArbeitsgebiete!B20&lt;&gt;"",ctArbeitsgebiete!B20,"")</f>
        <v/>
      </c>
      <c r="D52" s="187"/>
      <c r="E52" s="913"/>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322"/>
      <c r="AJ52" s="188">
        <f t="shared" si="14"/>
        <v>0</v>
      </c>
      <c r="AK52" s="152"/>
      <c r="AL52" s="113"/>
      <c r="AM52" s="89"/>
      <c r="AN52" s="89"/>
      <c r="AO52" s="89"/>
      <c r="AP52" s="89"/>
      <c r="AQ52" s="89"/>
      <c r="AR52" s="89"/>
    </row>
    <row r="53" spans="1:44" x14ac:dyDescent="0.2">
      <c r="A53" s="165"/>
      <c r="B53" s="185" t="str">
        <f>ctArbeitsgebiete!A21</f>
        <v>A13</v>
      </c>
      <c r="C53" s="186" t="str">
        <f>IF(ctArbeitsgebiete!B21&lt;&gt;"",ctArbeitsgebiete!B21,"")</f>
        <v/>
      </c>
      <c r="D53" s="187"/>
      <c r="E53" s="913"/>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322"/>
      <c r="AJ53" s="188">
        <f t="shared" si="14"/>
        <v>0</v>
      </c>
      <c r="AK53" s="152"/>
      <c r="AL53" s="113"/>
      <c r="AM53" s="89"/>
      <c r="AN53" s="89"/>
      <c r="AO53" s="89"/>
      <c r="AP53" s="89"/>
      <c r="AQ53" s="89"/>
      <c r="AR53" s="89"/>
    </row>
    <row r="54" spans="1:44" x14ac:dyDescent="0.2">
      <c r="A54" s="165"/>
      <c r="B54" s="185" t="str">
        <f>ctArbeitsgebiete!A22</f>
        <v>A14</v>
      </c>
      <c r="C54" s="186" t="str">
        <f>IF(ctArbeitsgebiete!B22&lt;&gt;"",ctArbeitsgebiete!B22,"")</f>
        <v/>
      </c>
      <c r="D54" s="187"/>
      <c r="E54" s="913"/>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322"/>
      <c r="AJ54" s="188">
        <f t="shared" si="14"/>
        <v>0</v>
      </c>
      <c r="AK54" s="152"/>
      <c r="AL54" s="113"/>
      <c r="AM54" s="89"/>
      <c r="AN54" s="89"/>
      <c r="AO54" s="89"/>
      <c r="AP54" s="89"/>
      <c r="AQ54" s="89"/>
      <c r="AR54" s="89"/>
    </row>
    <row r="55" spans="1:44" x14ac:dyDescent="0.2">
      <c r="A55" s="165"/>
      <c r="B55" s="185" t="str">
        <f>ctArbeitsgebiete!A23</f>
        <v>A15</v>
      </c>
      <c r="C55" s="186" t="str">
        <f>IF(ctArbeitsgebiete!B23&lt;&gt;"",ctArbeitsgebiete!B23,"")</f>
        <v/>
      </c>
      <c r="D55" s="187"/>
      <c r="E55" s="913"/>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322"/>
      <c r="AJ55" s="188">
        <f t="shared" si="14"/>
        <v>0</v>
      </c>
      <c r="AK55" s="152"/>
      <c r="AL55" s="113"/>
      <c r="AM55" s="89"/>
      <c r="AN55" s="89"/>
      <c r="AO55" s="89"/>
      <c r="AP55" s="89"/>
      <c r="AQ55" s="89"/>
      <c r="AR55" s="89"/>
    </row>
    <row r="56" spans="1:44" x14ac:dyDescent="0.2">
      <c r="A56" s="165"/>
      <c r="B56" s="189" t="str">
        <f>ctArbeitsgebiete!A24</f>
        <v>A16</v>
      </c>
      <c r="C56" s="190" t="str">
        <f>IF(ctArbeitsgebiete!B24&lt;&gt;"",ctArbeitsgebiete!B24,"")</f>
        <v/>
      </c>
      <c r="D56" s="191"/>
      <c r="E56" s="914"/>
      <c r="F56" s="915"/>
      <c r="G56" s="915"/>
      <c r="H56" s="915"/>
      <c r="I56" s="915"/>
      <c r="J56" s="915"/>
      <c r="K56" s="915"/>
      <c r="L56" s="915"/>
      <c r="M56" s="915"/>
      <c r="N56" s="915"/>
      <c r="O56" s="915"/>
      <c r="P56" s="915"/>
      <c r="Q56" s="915"/>
      <c r="R56" s="915"/>
      <c r="S56" s="915"/>
      <c r="T56" s="915"/>
      <c r="U56" s="915"/>
      <c r="V56" s="915"/>
      <c r="W56" s="915"/>
      <c r="X56" s="915"/>
      <c r="Y56" s="915"/>
      <c r="Z56" s="915"/>
      <c r="AA56" s="915"/>
      <c r="AB56" s="915"/>
      <c r="AC56" s="915"/>
      <c r="AD56" s="915"/>
      <c r="AE56" s="915"/>
      <c r="AF56" s="915"/>
      <c r="AG56" s="915"/>
      <c r="AH56" s="915"/>
      <c r="AI56" s="916"/>
      <c r="AJ56" s="192">
        <f t="shared" si="14"/>
        <v>0</v>
      </c>
      <c r="AK56" s="912"/>
      <c r="AL56" s="113"/>
      <c r="AM56" s="89"/>
      <c r="AN56" s="89"/>
      <c r="AO56" s="89"/>
      <c r="AP56" s="89"/>
      <c r="AQ56" s="89"/>
      <c r="AR56" s="89"/>
    </row>
    <row r="57" spans="1:44" x14ac:dyDescent="0.2">
      <c r="A57" s="165"/>
      <c r="B57" s="1066" t="str">
        <f>ctArbeitsgebiete!D9</f>
        <v>B01</v>
      </c>
      <c r="C57" s="1073" t="str">
        <f>IF(ctArbeitsgebiete!E9&lt;&gt;"",ctArbeitsgebiete!E9,"")</f>
        <v/>
      </c>
      <c r="D57" s="1074" t="str">
        <f>IF(ctArbeitsgebiete!F9&lt;&gt;"",ctArbeitsgebiete!F9,"")</f>
        <v/>
      </c>
      <c r="E57" s="1069"/>
      <c r="F57" s="1070"/>
      <c r="G57" s="1070"/>
      <c r="H57" s="1070"/>
      <c r="I57" s="1070"/>
      <c r="J57" s="1070"/>
      <c r="K57" s="1070"/>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0"/>
      <c r="AH57" s="1070"/>
      <c r="AI57" s="1071"/>
      <c r="AJ57" s="1075">
        <f t="shared" si="14"/>
        <v>0</v>
      </c>
      <c r="AK57" s="1060"/>
      <c r="AL57" s="113"/>
      <c r="AM57" s="89"/>
      <c r="AN57" s="89"/>
      <c r="AO57" s="89"/>
      <c r="AP57" s="89"/>
      <c r="AQ57" s="89"/>
      <c r="AR57" s="89"/>
    </row>
    <row r="58" spans="1:44" x14ac:dyDescent="0.2">
      <c r="A58" s="165"/>
      <c r="B58" s="185" t="str">
        <f>ctArbeitsgebiete!D10</f>
        <v>B02</v>
      </c>
      <c r="C58" s="193" t="str">
        <f>IF(ctArbeitsgebiete!E10&lt;&gt;"",ctArbeitsgebiete!E10,"")</f>
        <v/>
      </c>
      <c r="D58" s="194"/>
      <c r="E58" s="913"/>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322"/>
      <c r="AJ58" s="195">
        <f t="shared" si="14"/>
        <v>0</v>
      </c>
      <c r="AK58" s="152"/>
      <c r="AL58" s="113"/>
      <c r="AM58" s="89"/>
      <c r="AN58" s="89"/>
      <c r="AO58" s="89"/>
      <c r="AP58" s="89"/>
      <c r="AQ58" s="89"/>
      <c r="AR58" s="89"/>
    </row>
    <row r="59" spans="1:44" x14ac:dyDescent="0.2">
      <c r="A59" s="165"/>
      <c r="B59" s="185" t="str">
        <f>ctArbeitsgebiete!D11</f>
        <v>B03</v>
      </c>
      <c r="C59" s="193" t="str">
        <f>IF(ctArbeitsgebiete!E11&lt;&gt;"",ctArbeitsgebiete!E11,"")</f>
        <v/>
      </c>
      <c r="D59" s="194"/>
      <c r="E59" s="913"/>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322"/>
      <c r="AJ59" s="195">
        <f t="shared" si="14"/>
        <v>0</v>
      </c>
      <c r="AK59" s="152"/>
      <c r="AL59" s="113"/>
      <c r="AM59" s="89"/>
      <c r="AN59" s="89"/>
      <c r="AO59" s="89"/>
      <c r="AP59" s="89"/>
      <c r="AQ59" s="89"/>
      <c r="AR59" s="89"/>
    </row>
    <row r="60" spans="1:44" x14ac:dyDescent="0.2">
      <c r="A60" s="165"/>
      <c r="B60" s="185" t="str">
        <f>ctArbeitsgebiete!D12</f>
        <v>B04</v>
      </c>
      <c r="C60" s="193" t="str">
        <f>IF(ctArbeitsgebiete!E12&lt;&gt;"",ctArbeitsgebiete!E12,"")</f>
        <v/>
      </c>
      <c r="D60" s="194"/>
      <c r="E60" s="913"/>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322"/>
      <c r="AJ60" s="195">
        <f t="shared" si="14"/>
        <v>0</v>
      </c>
      <c r="AK60" s="152"/>
      <c r="AL60" s="113"/>
      <c r="AM60" s="89"/>
      <c r="AN60" s="89"/>
      <c r="AO60" s="89"/>
      <c r="AP60" s="89"/>
      <c r="AQ60" s="89"/>
      <c r="AR60" s="89"/>
    </row>
    <row r="61" spans="1:44" x14ac:dyDescent="0.2">
      <c r="A61" s="165"/>
      <c r="B61" s="185" t="str">
        <f>ctArbeitsgebiete!D13</f>
        <v>B05</v>
      </c>
      <c r="C61" s="193" t="str">
        <f>IF(ctArbeitsgebiete!E13&lt;&gt;"",ctArbeitsgebiete!E13,"")</f>
        <v/>
      </c>
      <c r="D61" s="194"/>
      <c r="E61" s="913"/>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322"/>
      <c r="AJ61" s="195">
        <f t="shared" si="14"/>
        <v>0</v>
      </c>
      <c r="AK61" s="152"/>
      <c r="AL61" s="113"/>
      <c r="AM61" s="89"/>
      <c r="AN61" s="89"/>
      <c r="AO61" s="89"/>
      <c r="AP61" s="89"/>
      <c r="AQ61" s="89"/>
      <c r="AR61" s="89"/>
    </row>
    <row r="62" spans="1:44" x14ac:dyDescent="0.2">
      <c r="A62" s="165"/>
      <c r="B62" s="185" t="str">
        <f>ctArbeitsgebiete!D14</f>
        <v>B06</v>
      </c>
      <c r="C62" s="193" t="str">
        <f>IF(ctArbeitsgebiete!E14&lt;&gt;"",ctArbeitsgebiete!E14,"")</f>
        <v/>
      </c>
      <c r="D62" s="194"/>
      <c r="E62" s="913"/>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322"/>
      <c r="AJ62" s="195">
        <f t="shared" si="14"/>
        <v>0</v>
      </c>
      <c r="AK62" s="152"/>
      <c r="AL62" s="113"/>
      <c r="AM62" s="89"/>
      <c r="AN62" s="89"/>
      <c r="AO62" s="89"/>
      <c r="AP62" s="89"/>
      <c r="AQ62" s="89"/>
      <c r="AR62" s="89"/>
    </row>
    <row r="63" spans="1:44" x14ac:dyDescent="0.2">
      <c r="A63" s="165"/>
      <c r="B63" s="185" t="str">
        <f>ctArbeitsgebiete!D15</f>
        <v>B07</v>
      </c>
      <c r="C63" s="193" t="str">
        <f>IF(ctArbeitsgebiete!E15&lt;&gt;"",ctArbeitsgebiete!E15,"")</f>
        <v/>
      </c>
      <c r="D63" s="194"/>
      <c r="E63" s="913"/>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322"/>
      <c r="AJ63" s="195">
        <f t="shared" si="14"/>
        <v>0</v>
      </c>
      <c r="AK63" s="152"/>
      <c r="AL63" s="113"/>
      <c r="AM63" s="89"/>
      <c r="AN63" s="89"/>
      <c r="AO63" s="89"/>
      <c r="AP63" s="89"/>
      <c r="AQ63" s="89"/>
      <c r="AR63" s="89"/>
    </row>
    <row r="64" spans="1:44" x14ac:dyDescent="0.2">
      <c r="A64" s="165"/>
      <c r="B64" s="185" t="str">
        <f>ctArbeitsgebiete!D16</f>
        <v>B08</v>
      </c>
      <c r="C64" s="193" t="str">
        <f>IF(ctArbeitsgebiete!E16&lt;&gt;"",ctArbeitsgebiete!E16,"")</f>
        <v/>
      </c>
      <c r="D64" s="194"/>
      <c r="E64" s="913"/>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322"/>
      <c r="AJ64" s="195">
        <f t="shared" si="14"/>
        <v>0</v>
      </c>
      <c r="AK64" s="152"/>
      <c r="AL64" s="113"/>
      <c r="AM64" s="89"/>
      <c r="AN64" s="89"/>
      <c r="AO64" s="89"/>
      <c r="AP64" s="89"/>
      <c r="AQ64" s="89"/>
      <c r="AR64" s="89"/>
    </row>
    <row r="65" spans="1:44" x14ac:dyDescent="0.2">
      <c r="A65" s="165"/>
      <c r="B65" s="185" t="str">
        <f>ctArbeitsgebiete!D17</f>
        <v>B09</v>
      </c>
      <c r="C65" s="193" t="str">
        <f>IF(ctArbeitsgebiete!E17&lt;&gt;"",ctArbeitsgebiete!E17,"")</f>
        <v/>
      </c>
      <c r="D65" s="194"/>
      <c r="E65" s="913"/>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322"/>
      <c r="AJ65" s="195">
        <f t="shared" si="14"/>
        <v>0</v>
      </c>
      <c r="AK65" s="152"/>
      <c r="AL65" s="113"/>
      <c r="AM65" s="89"/>
      <c r="AN65" s="89"/>
      <c r="AO65" s="89"/>
      <c r="AP65" s="89"/>
      <c r="AQ65" s="89"/>
      <c r="AR65" s="89"/>
    </row>
    <row r="66" spans="1:44" x14ac:dyDescent="0.2">
      <c r="A66" s="165"/>
      <c r="B66" s="185" t="str">
        <f>ctArbeitsgebiete!D18</f>
        <v>B10</v>
      </c>
      <c r="C66" s="193" t="str">
        <f>IF(ctArbeitsgebiete!E18&lt;&gt;"",ctArbeitsgebiete!E18,"")</f>
        <v/>
      </c>
      <c r="D66" s="194"/>
      <c r="E66" s="913"/>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322"/>
      <c r="AJ66" s="195">
        <f t="shared" si="14"/>
        <v>0</v>
      </c>
      <c r="AK66" s="152"/>
      <c r="AL66" s="113"/>
      <c r="AM66" s="89"/>
      <c r="AN66" s="89"/>
      <c r="AO66" s="89"/>
      <c r="AP66" s="89"/>
      <c r="AQ66" s="89"/>
      <c r="AR66" s="89"/>
    </row>
    <row r="67" spans="1:44" x14ac:dyDescent="0.2">
      <c r="A67" s="165"/>
      <c r="B67" s="185" t="str">
        <f>ctArbeitsgebiete!D19</f>
        <v>B11</v>
      </c>
      <c r="C67" s="193" t="str">
        <f>IF(ctArbeitsgebiete!E19&lt;&gt;"",ctArbeitsgebiete!E19,"")</f>
        <v/>
      </c>
      <c r="D67" s="194"/>
      <c r="E67" s="913"/>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322"/>
      <c r="AJ67" s="195">
        <f t="shared" si="14"/>
        <v>0</v>
      </c>
      <c r="AK67" s="152"/>
      <c r="AL67" s="113"/>
      <c r="AM67" s="89"/>
      <c r="AN67" s="89"/>
      <c r="AO67" s="89"/>
      <c r="AP67" s="89"/>
      <c r="AQ67" s="89"/>
      <c r="AR67" s="89"/>
    </row>
    <row r="68" spans="1:44" x14ac:dyDescent="0.2">
      <c r="A68" s="165"/>
      <c r="B68" s="189" t="str">
        <f>ctArbeitsgebiete!D20</f>
        <v>B12</v>
      </c>
      <c r="C68" s="196" t="str">
        <f>IF(ctArbeitsgebiete!E20&lt;&gt;"",ctArbeitsgebiete!E20,"")</f>
        <v/>
      </c>
      <c r="D68" s="197"/>
      <c r="E68" s="914"/>
      <c r="F68" s="915"/>
      <c r="G68" s="915"/>
      <c r="H68" s="915"/>
      <c r="I68" s="915"/>
      <c r="J68" s="915"/>
      <c r="K68" s="915"/>
      <c r="L68" s="915"/>
      <c r="M68" s="915"/>
      <c r="N68" s="915"/>
      <c r="O68" s="915"/>
      <c r="P68" s="915"/>
      <c r="Q68" s="915"/>
      <c r="R68" s="915"/>
      <c r="S68" s="915"/>
      <c r="T68" s="915"/>
      <c r="U68" s="915"/>
      <c r="V68" s="915"/>
      <c r="W68" s="915"/>
      <c r="X68" s="915"/>
      <c r="Y68" s="915"/>
      <c r="Z68" s="915"/>
      <c r="AA68" s="915"/>
      <c r="AB68" s="915"/>
      <c r="AC68" s="915"/>
      <c r="AD68" s="915"/>
      <c r="AE68" s="915"/>
      <c r="AF68" s="915"/>
      <c r="AG68" s="915"/>
      <c r="AH68" s="915"/>
      <c r="AI68" s="916"/>
      <c r="AJ68" s="198">
        <f t="shared" si="14"/>
        <v>0</v>
      </c>
      <c r="AK68" s="912"/>
      <c r="AL68" s="113"/>
      <c r="AM68" s="89"/>
      <c r="AN68" s="89"/>
      <c r="AO68" s="89"/>
      <c r="AP68" s="89"/>
      <c r="AQ68" s="89"/>
      <c r="AR68" s="89"/>
    </row>
    <row r="69" spans="1:44" x14ac:dyDescent="0.2">
      <c r="A69" s="165"/>
      <c r="B69" s="1066" t="str">
        <f>ctArbeitsgebiete!G9</f>
        <v>C01</v>
      </c>
      <c r="C69" s="1076" t="str">
        <f>IF(ctArbeitsgebiete!H9&lt;&gt;"",ctArbeitsgebiete!H9,"")</f>
        <v/>
      </c>
      <c r="D69" s="1077"/>
      <c r="E69" s="1069"/>
      <c r="F69" s="1070"/>
      <c r="G69" s="1070"/>
      <c r="H69" s="1070"/>
      <c r="I69" s="1070"/>
      <c r="J69" s="1070"/>
      <c r="K69" s="1070"/>
      <c r="L69" s="1070"/>
      <c r="M69" s="1070"/>
      <c r="N69" s="1070"/>
      <c r="O69" s="1070"/>
      <c r="P69" s="1070"/>
      <c r="Q69" s="1070"/>
      <c r="R69" s="1070"/>
      <c r="S69" s="1070"/>
      <c r="T69" s="1070"/>
      <c r="U69" s="1070"/>
      <c r="V69" s="1070"/>
      <c r="W69" s="1070"/>
      <c r="X69" s="1070"/>
      <c r="Y69" s="1070"/>
      <c r="Z69" s="1070"/>
      <c r="AA69" s="1070"/>
      <c r="AB69" s="1070"/>
      <c r="AC69" s="1070"/>
      <c r="AD69" s="1070"/>
      <c r="AE69" s="1070"/>
      <c r="AF69" s="1070"/>
      <c r="AG69" s="1070"/>
      <c r="AH69" s="1070"/>
      <c r="AI69" s="1071"/>
      <c r="AJ69" s="1078">
        <f t="shared" si="14"/>
        <v>0</v>
      </c>
      <c r="AK69" s="1060"/>
      <c r="AL69" s="113"/>
      <c r="AM69" s="89"/>
      <c r="AN69" s="89"/>
      <c r="AO69" s="89"/>
      <c r="AP69" s="89"/>
      <c r="AQ69" s="89"/>
      <c r="AR69" s="89"/>
    </row>
    <row r="70" spans="1:44" x14ac:dyDescent="0.2">
      <c r="A70" s="165"/>
      <c r="B70" s="185" t="str">
        <f>ctArbeitsgebiete!G10</f>
        <v>C02</v>
      </c>
      <c r="C70" s="199" t="str">
        <f>IF(ctArbeitsgebiete!H10&lt;&gt;"",ctArbeitsgebiete!H10,"")</f>
        <v/>
      </c>
      <c r="D70" s="200"/>
      <c r="E70" s="913"/>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322"/>
      <c r="AJ70" s="201">
        <f t="shared" si="14"/>
        <v>0</v>
      </c>
      <c r="AK70" s="152"/>
      <c r="AL70" s="113"/>
      <c r="AM70" s="89"/>
      <c r="AN70" s="89"/>
      <c r="AO70" s="89"/>
      <c r="AP70" s="89"/>
      <c r="AQ70" s="89"/>
      <c r="AR70" s="89"/>
    </row>
    <row r="71" spans="1:44" x14ac:dyDescent="0.2">
      <c r="A71" s="165"/>
      <c r="B71" s="185" t="str">
        <f>ctArbeitsgebiete!G11</f>
        <v>C03</v>
      </c>
      <c r="C71" s="199" t="str">
        <f>IF(ctArbeitsgebiete!H11&lt;&gt;"",ctArbeitsgebiete!H11,"")</f>
        <v/>
      </c>
      <c r="D71" s="200"/>
      <c r="E71" s="913"/>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322"/>
      <c r="AJ71" s="201">
        <f t="shared" si="14"/>
        <v>0</v>
      </c>
      <c r="AK71" s="152"/>
      <c r="AL71" s="113"/>
      <c r="AM71" s="89"/>
      <c r="AN71" s="89"/>
      <c r="AO71" s="89"/>
      <c r="AP71" s="89"/>
      <c r="AQ71" s="89"/>
      <c r="AR71" s="89"/>
    </row>
    <row r="72" spans="1:44" x14ac:dyDescent="0.2">
      <c r="A72" s="165"/>
      <c r="B72" s="185" t="str">
        <f>ctArbeitsgebiete!G12</f>
        <v>C04</v>
      </c>
      <c r="C72" s="199" t="str">
        <f>IF(ctArbeitsgebiete!H12&lt;&gt;"",ctArbeitsgebiete!H12,"")</f>
        <v/>
      </c>
      <c r="D72" s="200"/>
      <c r="E72" s="913"/>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322"/>
      <c r="AJ72" s="201">
        <f t="shared" si="14"/>
        <v>0</v>
      </c>
      <c r="AK72" s="152"/>
      <c r="AL72" s="113"/>
      <c r="AM72" s="89"/>
      <c r="AN72" s="89"/>
      <c r="AO72" s="89"/>
      <c r="AP72" s="89"/>
      <c r="AQ72" s="89"/>
      <c r="AR72" s="89"/>
    </row>
    <row r="73" spans="1:44" x14ac:dyDescent="0.2">
      <c r="A73" s="165"/>
      <c r="B73" s="185" t="str">
        <f>ctArbeitsgebiete!G13</f>
        <v>C05</v>
      </c>
      <c r="C73" s="199" t="str">
        <f>IF(ctArbeitsgebiete!H13&lt;&gt;"",ctArbeitsgebiete!H13,"")</f>
        <v/>
      </c>
      <c r="D73" s="200"/>
      <c r="E73" s="913"/>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322"/>
      <c r="AJ73" s="201">
        <f t="shared" si="14"/>
        <v>0</v>
      </c>
      <c r="AK73" s="152"/>
      <c r="AL73" s="113"/>
      <c r="AM73" s="89"/>
      <c r="AN73" s="89"/>
      <c r="AO73" s="89"/>
      <c r="AP73" s="89"/>
      <c r="AQ73" s="89"/>
      <c r="AR73" s="89"/>
    </row>
    <row r="74" spans="1:44" x14ac:dyDescent="0.2">
      <c r="A74" s="165"/>
      <c r="B74" s="185" t="str">
        <f>ctArbeitsgebiete!G14</f>
        <v>C06</v>
      </c>
      <c r="C74" s="199" t="str">
        <f>IF(ctArbeitsgebiete!H14&lt;&gt;"",ctArbeitsgebiete!H14,"")</f>
        <v/>
      </c>
      <c r="D74" s="200"/>
      <c r="E74" s="913"/>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322"/>
      <c r="AJ74" s="201">
        <f t="shared" si="14"/>
        <v>0</v>
      </c>
      <c r="AK74" s="152"/>
      <c r="AL74" s="113"/>
      <c r="AM74" s="89"/>
      <c r="AN74" s="89"/>
      <c r="AO74" s="89"/>
      <c r="AP74" s="89"/>
      <c r="AQ74" s="89"/>
      <c r="AR74" s="89"/>
    </row>
    <row r="75" spans="1:44" x14ac:dyDescent="0.2">
      <c r="A75" s="165"/>
      <c r="B75" s="185" t="str">
        <f>ctArbeitsgebiete!G15</f>
        <v>C07</v>
      </c>
      <c r="C75" s="199" t="str">
        <f>IF(ctArbeitsgebiete!H15&lt;&gt;"",ctArbeitsgebiete!H15,"")</f>
        <v/>
      </c>
      <c r="D75" s="200"/>
      <c r="E75" s="913"/>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322"/>
      <c r="AJ75" s="201">
        <f t="shared" si="14"/>
        <v>0</v>
      </c>
      <c r="AK75" s="152"/>
      <c r="AL75" s="113"/>
      <c r="AM75" s="89"/>
      <c r="AN75" s="89"/>
      <c r="AO75" s="89"/>
      <c r="AP75" s="89"/>
      <c r="AQ75" s="89"/>
      <c r="AR75" s="89"/>
    </row>
    <row r="76" spans="1:44" x14ac:dyDescent="0.2">
      <c r="A76" s="165"/>
      <c r="B76" s="189" t="str">
        <f>ctArbeitsgebiete!G16</f>
        <v>C08</v>
      </c>
      <c r="C76" s="202" t="str">
        <f>IF(ctArbeitsgebiete!H16&lt;&gt;"",ctArbeitsgebiete!H16,"")</f>
        <v/>
      </c>
      <c r="D76" s="203"/>
      <c r="E76" s="914"/>
      <c r="F76" s="915"/>
      <c r="G76" s="915"/>
      <c r="H76" s="915"/>
      <c r="I76" s="915"/>
      <c r="J76" s="915"/>
      <c r="K76" s="915"/>
      <c r="L76" s="915"/>
      <c r="M76" s="915"/>
      <c r="N76" s="915"/>
      <c r="O76" s="915"/>
      <c r="P76" s="915"/>
      <c r="Q76" s="915"/>
      <c r="R76" s="915"/>
      <c r="S76" s="915"/>
      <c r="T76" s="915"/>
      <c r="U76" s="915"/>
      <c r="V76" s="915"/>
      <c r="W76" s="915"/>
      <c r="X76" s="915"/>
      <c r="Y76" s="915"/>
      <c r="Z76" s="915"/>
      <c r="AA76" s="915"/>
      <c r="AB76" s="915"/>
      <c r="AC76" s="915"/>
      <c r="AD76" s="915"/>
      <c r="AE76" s="915"/>
      <c r="AF76" s="915"/>
      <c r="AG76" s="915"/>
      <c r="AH76" s="915"/>
      <c r="AI76" s="916"/>
      <c r="AJ76" s="204">
        <f t="shared" si="14"/>
        <v>0</v>
      </c>
      <c r="AK76" s="912"/>
      <c r="AL76" s="113"/>
      <c r="AM76" s="89"/>
      <c r="AN76" s="89"/>
      <c r="AO76" s="89"/>
      <c r="AP76" s="89"/>
      <c r="AQ76" s="89"/>
      <c r="AR76" s="89"/>
    </row>
    <row r="77" spans="1:44" x14ac:dyDescent="0.2">
      <c r="A77" s="165"/>
      <c r="B77" s="1066" t="str">
        <f>ctArbeitsgebiete!J9</f>
        <v>D01</v>
      </c>
      <c r="C77" s="1079" t="str">
        <f>IF(ctArbeitsgebiete!K9&lt;&gt;"",ctArbeitsgebiete!K9,"")</f>
        <v>DAG</v>
      </c>
      <c r="D77" s="1080"/>
      <c r="E77" s="1069"/>
      <c r="F77" s="1070"/>
      <c r="G77" s="1070"/>
      <c r="H77" s="1070"/>
      <c r="I77" s="1070"/>
      <c r="J77" s="1070"/>
      <c r="K77" s="1070"/>
      <c r="L77" s="1070"/>
      <c r="M77" s="1070"/>
      <c r="N77" s="1070"/>
      <c r="O77" s="1070"/>
      <c r="P77" s="1070"/>
      <c r="Q77" s="1070"/>
      <c r="R77" s="1070"/>
      <c r="S77" s="1070"/>
      <c r="T77" s="1070"/>
      <c r="U77" s="1070"/>
      <c r="V77" s="1070"/>
      <c r="W77" s="1070"/>
      <c r="X77" s="1070"/>
      <c r="Y77" s="1070"/>
      <c r="Z77" s="1070"/>
      <c r="AA77" s="1070"/>
      <c r="AB77" s="1070"/>
      <c r="AC77" s="1070"/>
      <c r="AD77" s="1070"/>
      <c r="AE77" s="1070"/>
      <c r="AF77" s="1070"/>
      <c r="AG77" s="1070"/>
      <c r="AH77" s="1070"/>
      <c r="AI77" s="1071"/>
      <c r="AJ77" s="1059">
        <f t="shared" si="14"/>
        <v>0</v>
      </c>
      <c r="AK77" s="1060"/>
      <c r="AL77" s="113"/>
      <c r="AM77" s="89"/>
      <c r="AN77" s="89"/>
      <c r="AO77" s="89"/>
      <c r="AP77" s="89"/>
      <c r="AQ77" s="89"/>
      <c r="AR77" s="89"/>
    </row>
    <row r="78" spans="1:44" x14ac:dyDescent="0.2">
      <c r="A78" s="165"/>
      <c r="B78" s="185" t="str">
        <f>ctArbeitsgebiete!J10</f>
        <v>D02</v>
      </c>
      <c r="C78" s="205" t="str">
        <f>IF(ctArbeitsgebiete!K10&lt;&gt;"",ctArbeitsgebiete!K10,"")</f>
        <v>Betriebsausflug</v>
      </c>
      <c r="D78" s="206"/>
      <c r="E78" s="913"/>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322"/>
      <c r="AJ78" s="174">
        <f t="shared" si="14"/>
        <v>0</v>
      </c>
      <c r="AK78" s="152"/>
      <c r="AL78" s="113"/>
      <c r="AM78" s="89"/>
      <c r="AN78" s="89"/>
      <c r="AO78" s="89"/>
      <c r="AP78" s="89"/>
      <c r="AQ78" s="89"/>
      <c r="AR78" s="89"/>
    </row>
    <row r="79" spans="1:44" x14ac:dyDescent="0.2">
      <c r="A79" s="165"/>
      <c r="B79" s="185" t="str">
        <f>ctArbeitsgebiete!J11</f>
        <v>D03</v>
      </c>
      <c r="C79" s="205" t="str">
        <f>IF(ctArbeitsgebiete!K11&lt;&gt;"",ctArbeitsgebiete!K11,"")</f>
        <v/>
      </c>
      <c r="D79" s="206"/>
      <c r="E79" s="913"/>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322"/>
      <c r="AJ79" s="174">
        <f t="shared" si="14"/>
        <v>0</v>
      </c>
      <c r="AK79" s="152"/>
      <c r="AL79" s="113"/>
      <c r="AM79" s="89"/>
      <c r="AN79" s="89"/>
      <c r="AO79" s="89"/>
      <c r="AP79" s="89"/>
      <c r="AQ79" s="89"/>
      <c r="AR79" s="89"/>
    </row>
    <row r="80" spans="1:44" x14ac:dyDescent="0.2">
      <c r="A80" s="165"/>
      <c r="B80" s="185" t="str">
        <f>ctArbeitsgebiete!J12</f>
        <v>D04</v>
      </c>
      <c r="C80" s="205" t="str">
        <f>IF(ctArbeitsgebiete!K12&lt;&gt;"",ctArbeitsgebiete!K12,"")</f>
        <v/>
      </c>
      <c r="D80" s="206"/>
      <c r="E80" s="913"/>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322"/>
      <c r="AJ80" s="174">
        <f t="shared" si="14"/>
        <v>0</v>
      </c>
      <c r="AK80" s="152"/>
      <c r="AL80" s="113"/>
      <c r="AM80" s="89"/>
      <c r="AN80" s="89"/>
      <c r="AO80" s="89"/>
      <c r="AP80" s="89"/>
      <c r="AQ80" s="89"/>
      <c r="AR80" s="89"/>
    </row>
    <row r="81" spans="1:44" x14ac:dyDescent="0.2">
      <c r="A81" s="165"/>
      <c r="B81" s="185" t="str">
        <f>ctArbeitsgebiete!J13</f>
        <v>D05</v>
      </c>
      <c r="C81" s="205" t="str">
        <f>IF(ctArbeitsgebiete!K13&lt;&gt;"",ctArbeitsgebiete!K13,"")</f>
        <v/>
      </c>
      <c r="D81" s="206"/>
      <c r="E81" s="913"/>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322"/>
      <c r="AJ81" s="174">
        <f t="shared" si="14"/>
        <v>0</v>
      </c>
      <c r="AK81" s="152"/>
      <c r="AL81" s="113"/>
      <c r="AM81" s="89"/>
      <c r="AN81" s="89"/>
      <c r="AO81" s="89"/>
      <c r="AP81" s="89"/>
      <c r="AQ81" s="89"/>
      <c r="AR81" s="89"/>
    </row>
    <row r="82" spans="1:44" x14ac:dyDescent="0.2">
      <c r="A82" s="165"/>
      <c r="B82" s="185" t="str">
        <f>ctArbeitsgebiete!J14</f>
        <v>D06</v>
      </c>
      <c r="C82" s="205" t="str">
        <f>IF(ctArbeitsgebiete!K14&lt;&gt;"",ctArbeitsgebiete!K14,"")</f>
        <v/>
      </c>
      <c r="D82" s="206"/>
      <c r="E82" s="913"/>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322"/>
      <c r="AJ82" s="174">
        <f t="shared" si="14"/>
        <v>0</v>
      </c>
      <c r="AK82" s="152"/>
      <c r="AL82" s="113"/>
      <c r="AM82" s="89"/>
      <c r="AN82" s="89"/>
      <c r="AO82" s="89"/>
      <c r="AP82" s="89"/>
      <c r="AQ82" s="89"/>
      <c r="AR82" s="89"/>
    </row>
    <row r="83" spans="1:44" x14ac:dyDescent="0.2">
      <c r="A83" s="165"/>
      <c r="B83" s="185" t="str">
        <f>ctArbeitsgebiete!J15</f>
        <v>D07</v>
      </c>
      <c r="C83" s="205" t="str">
        <f>IF(ctArbeitsgebiete!K15&lt;&gt;"",ctArbeitsgebiete!K15,"")</f>
        <v/>
      </c>
      <c r="D83" s="206"/>
      <c r="E83" s="913"/>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322"/>
      <c r="AJ83" s="174">
        <f t="shared" si="14"/>
        <v>0</v>
      </c>
      <c r="AK83" s="152"/>
      <c r="AL83" s="113"/>
      <c r="AM83" s="89"/>
      <c r="AN83" s="89"/>
      <c r="AO83" s="89"/>
      <c r="AP83" s="89"/>
      <c r="AQ83" s="89"/>
      <c r="AR83" s="89"/>
    </row>
    <row r="84" spans="1:44" ht="13.5" thickBot="1" x14ac:dyDescent="0.25">
      <c r="A84" s="165"/>
      <c r="B84" s="189" t="str">
        <f>ctArbeitsgebiete!J16</f>
        <v>D08</v>
      </c>
      <c r="C84" s="207" t="str">
        <f>IF(ctArbeitsgebiete!K16&lt;&gt;"",ctArbeitsgebiete!K16,"")</f>
        <v/>
      </c>
      <c r="D84" s="208"/>
      <c r="E84" s="925"/>
      <c r="F84" s="926"/>
      <c r="G84" s="926"/>
      <c r="H84" s="926"/>
      <c r="I84" s="926"/>
      <c r="J84" s="926"/>
      <c r="K84" s="926"/>
      <c r="L84" s="926"/>
      <c r="M84" s="926"/>
      <c r="N84" s="926"/>
      <c r="O84" s="926"/>
      <c r="P84" s="926"/>
      <c r="Q84" s="926"/>
      <c r="R84" s="926"/>
      <c r="S84" s="926"/>
      <c r="T84" s="926"/>
      <c r="U84" s="926"/>
      <c r="V84" s="926"/>
      <c r="W84" s="926"/>
      <c r="X84" s="926"/>
      <c r="Y84" s="926"/>
      <c r="Z84" s="926"/>
      <c r="AA84" s="926"/>
      <c r="AB84" s="926"/>
      <c r="AC84" s="926"/>
      <c r="AD84" s="926"/>
      <c r="AE84" s="926"/>
      <c r="AF84" s="926"/>
      <c r="AG84" s="926"/>
      <c r="AH84" s="926"/>
      <c r="AI84" s="927"/>
      <c r="AJ84" s="142">
        <f t="shared" si="14"/>
        <v>0</v>
      </c>
      <c r="AK84" s="912"/>
      <c r="AL84" s="113"/>
      <c r="AM84" s="89"/>
      <c r="AN84" s="89"/>
      <c r="AO84" s="89"/>
      <c r="AP84" s="89"/>
      <c r="AQ84" s="89"/>
      <c r="AR84" s="89"/>
    </row>
    <row r="85" spans="1:44" ht="22.5" hidden="1" customHeight="1" outlineLevel="1" thickBot="1" x14ac:dyDescent="0.25">
      <c r="A85" s="8" t="s">
        <v>424</v>
      </c>
      <c r="B85" s="928"/>
      <c r="C85" s="929" t="s">
        <v>433</v>
      </c>
      <c r="D85" s="930"/>
      <c r="E85" s="931">
        <f>IF(AND(E86="JA",E14&gt;=E16),IF(Eingabeblatt!$D$7="JA",(E14-E16)*1.25,E14-E16),IF(AND(E86="JA",Eingabeblatt!$I$10="NEIN"),E14-E16,0))</f>
        <v>0</v>
      </c>
      <c r="F85" s="932">
        <f>IF(AND(F86="JA",F14&gt;=F16),IF(Eingabeblatt!$D$7="JA",(F14-F16)*1.25,F14-F16),IF(AND(F86="JA",Eingabeblatt!$I$10="NEIN"),F14-F16,0))</f>
        <v>0</v>
      </c>
      <c r="G85" s="932">
        <f>IF(AND(G86="JA",G14&gt;=G16),IF(Eingabeblatt!$D$7="JA",(G14-G16)*1.25,G14-G16),IF(AND(G86="JA",Eingabeblatt!$I$10="NEIN"),G14-G16,0))</f>
        <v>0</v>
      </c>
      <c r="H85" s="932">
        <f>IF(AND(H86="JA",H14&gt;=H16),IF(Eingabeblatt!$D$7="JA",(H14-H16)*1.25,H14-H16),IF(AND(H86="JA",Eingabeblatt!$I$10="NEIN"),H14-H16,0))</f>
        <v>0</v>
      </c>
      <c r="I85" s="932">
        <f>IF(AND(I86="JA",I14&gt;=I16),IF(Eingabeblatt!$D$7="JA",(I14-I16)*1.25,I14-I16),IF(AND(I86="JA",Eingabeblatt!$I$10="NEIN"),I14-I16,0))</f>
        <v>0</v>
      </c>
      <c r="J85" s="932">
        <f>IF(AND(J86="JA",J14&gt;=J16),IF(Eingabeblatt!$D$7="JA",(J14-J16)*1.25,J14-J16),IF(AND(J86="JA",Eingabeblatt!$I$10="NEIN"),J14-J16,0))</f>
        <v>0</v>
      </c>
      <c r="K85" s="932">
        <f>IF(AND(K86="JA",K14&gt;=K16),IF(Eingabeblatt!$D$7="JA",(K14-K16)*1.25,K14-K16),IF(AND(K86="JA",Eingabeblatt!$I$10="NEIN"),K14-K16,0))</f>
        <v>0</v>
      </c>
      <c r="L85" s="932">
        <f>IF(AND(L86="JA",L14&gt;=L16),IF(Eingabeblatt!$D$7="JA",(L14-L16)*1.25,L14-L16),IF(AND(L86="JA",Eingabeblatt!$I$10="NEIN"),L14-L16,0))</f>
        <v>0</v>
      </c>
      <c r="M85" s="932">
        <f>IF(AND(M86="JA",M14&gt;=M16),IF(Eingabeblatt!$D$7="JA",(M14-M16)*1.25,M14-M16),IF(AND(M86="JA",Eingabeblatt!$I$10="NEIN"),M14-M16,0))</f>
        <v>0</v>
      </c>
      <c r="N85" s="932">
        <f>IF(AND(N86="JA",N14&gt;=N16),IF(Eingabeblatt!$D$7="JA",(N14-N16)*1.25,N14-N16),IF(AND(N86="JA",Eingabeblatt!$I$10="NEIN"),N14-N16,0))</f>
        <v>0</v>
      </c>
      <c r="O85" s="932">
        <f>IF(AND(O86="JA",O14&gt;=O16),IF(Eingabeblatt!$D$7="JA",(O14-O16)*1.25,O14-O16),IF(AND(O86="JA",Eingabeblatt!$I$10="NEIN"),O14-O16,0))</f>
        <v>0</v>
      </c>
      <c r="P85" s="932">
        <f>IF(AND(P86="JA",P14&gt;=P16),IF(Eingabeblatt!$D$7="JA",(P14-P16)*1.25,P14-P16),IF(AND(P86="JA",Eingabeblatt!$I$10="NEIN"),P14-P16,0))</f>
        <v>0</v>
      </c>
      <c r="Q85" s="932">
        <f>IF(AND(Q86="JA",Q14&gt;=Q16),IF(Eingabeblatt!$D$7="JA",(Q14-Q16)*1.25,Q14-Q16),IF(AND(Q86="JA",Eingabeblatt!$I$10="NEIN"),Q14-Q16,0))</f>
        <v>0</v>
      </c>
      <c r="R85" s="932">
        <f>IF(AND(R86="JA",R14&gt;=R16),IF(Eingabeblatt!$D$7="JA",(R14-R16)*1.25,R14-R16),IF(AND(R86="JA",Eingabeblatt!$I$10="NEIN"),R14-R16,0))</f>
        <v>0</v>
      </c>
      <c r="S85" s="932">
        <f>IF(AND(S86="JA",S14&gt;=S16),IF(Eingabeblatt!$D$7="JA",(S14-S16)*1.25,S14-S16),IF(AND(S86="JA",Eingabeblatt!$I$10="NEIN"),S14-S16,0))</f>
        <v>0</v>
      </c>
      <c r="T85" s="932">
        <f>IF(AND(T86="JA",T14&gt;=T16),IF(Eingabeblatt!$D$7="JA",(T14-T16)*1.25,T14-T16),IF(AND(T86="JA",Eingabeblatt!$I$10="NEIN"),T14-T16,0))</f>
        <v>0</v>
      </c>
      <c r="U85" s="932">
        <f>IF(AND(U86="JA",U14&gt;=U16),IF(Eingabeblatt!$D$7="JA",(U14-U16)*1.25,U14-U16),IF(AND(U86="JA",Eingabeblatt!$I$10="NEIN"),U14-U16,0))</f>
        <v>0</v>
      </c>
      <c r="V85" s="932">
        <f>IF(AND(V86="JA",V14&gt;=V16),IF(Eingabeblatt!$D$7="JA",(V14-V16)*1.25,V14-V16),IF(AND(V86="JA",Eingabeblatt!$I$10="NEIN"),V14-V16,0))</f>
        <v>0</v>
      </c>
      <c r="W85" s="932">
        <f>IF(AND(W86="JA",W14&gt;=W16),IF(Eingabeblatt!$D$7="JA",(W14-W16)*1.25,W14-W16),IF(AND(W86="JA",Eingabeblatt!$I$10="NEIN"),W14-W16,0))</f>
        <v>0</v>
      </c>
      <c r="X85" s="932">
        <f>IF(AND(X86="JA",X14&gt;=X16),IF(Eingabeblatt!$D$7="JA",(X14-X16)*1.25,X14-X16),IF(AND(X86="JA",Eingabeblatt!$I$10="NEIN"),X14-X16,0))</f>
        <v>0</v>
      </c>
      <c r="Y85" s="932">
        <f>IF(AND(Y86="JA",Y14&gt;=Y16),IF(Eingabeblatt!$D$7="JA",(Y14-Y16)*1.25,Y14-Y16),IF(AND(Y86="JA",Eingabeblatt!$I$10="NEIN"),Y14-Y16,0))</f>
        <v>0</v>
      </c>
      <c r="Z85" s="932">
        <f>IF(AND(Z86="JA",Z14&gt;=Z16),IF(Eingabeblatt!$D$7="JA",(Z14-Z16)*1.25,Z14-Z16),IF(AND(Z86="JA",Eingabeblatt!$I$10="NEIN"),Z14-Z16,0))</f>
        <v>0</v>
      </c>
      <c r="AA85" s="932">
        <f>IF(AND(AA86="JA",AA14&gt;=AA16),IF(Eingabeblatt!$D$7="JA",(AA14-AA16)*1.25,AA14-AA16),IF(AND(AA86="JA",Eingabeblatt!$I$10="NEIN"),AA14-AA16,0))</f>
        <v>0</v>
      </c>
      <c r="AB85" s="932">
        <f>IF(AND(AB86="JA",AB14&gt;=AB16),IF(Eingabeblatt!$D$7="JA",(AB14-AB16)*1.25,AB14-AB16),IF(AND(AB86="JA",Eingabeblatt!$I$10="NEIN"),AB14-AB16,0))</f>
        <v>0</v>
      </c>
      <c r="AC85" s="932">
        <f>IF(AND(AC86="JA",AC14&gt;=AC16),IF(Eingabeblatt!$D$7="JA",(AC14-AC16)*1.25,AC14-AC16),IF(AND(AC86="JA",Eingabeblatt!$I$10="NEIN"),AC14-AC16,0))</f>
        <v>0</v>
      </c>
      <c r="AD85" s="932">
        <f>IF(AND(AD86="JA",AD14&gt;=AD16),IF(Eingabeblatt!$D$7="JA",(AD14-AD16)*1.25,AD14-AD16),IF(AND(AD86="JA",Eingabeblatt!$I$10="NEIN"),AD14-AD16,0))</f>
        <v>0</v>
      </c>
      <c r="AE85" s="932">
        <f>IF(AND(AE86="JA",AE14&gt;=AE16),IF(Eingabeblatt!$D$7="JA",(AE14-AE16)*1.25,AE14-AE16),IF(AND(AE86="JA",Eingabeblatt!$I$10="NEIN"),AE14-AE16,0))</f>
        <v>0</v>
      </c>
      <c r="AF85" s="932">
        <f>IF(AND(AF86="JA",AF14&gt;=AF16),IF(Eingabeblatt!$D$7="JA",(AF14-AF16)*1.25,AF14-AF16),IF(AND(AF86="JA",Eingabeblatt!$I$10="NEIN"),AF14-AF16,0))</f>
        <v>0</v>
      </c>
      <c r="AG85" s="932">
        <f>IF(AND(AG86="JA",AG14&gt;=AG16),IF(Eingabeblatt!$D$7="JA",(AG14-AG16)*1.25,AG14-AG16),IF(AND(AG86="JA",Eingabeblatt!$I$10="NEIN"),AG14-AG16,0))</f>
        <v>0</v>
      </c>
      <c r="AH85" s="932">
        <f>IF(AND(AH86="JA",AH14&gt;=AH16),IF(Eingabeblatt!$D$7="JA",(AH14-AH16)*1.25,AH14-AH16),IF(AND(AH86="JA",Eingabeblatt!$I$10="NEIN"),AH14-AH16,0))</f>
        <v>0</v>
      </c>
      <c r="AI85" s="933">
        <f>IF(AND(AI86="JA",AI14&gt;=AI16),IF(Eingabeblatt!$D$7="JA",(AI14-AI16)*1.25,AI14-AI16),IF(AND(AI86="JA",Eingabeblatt!$I$10="NEIN"),AI14-AI16,0))</f>
        <v>0</v>
      </c>
      <c r="AJ85" s="1081">
        <f>SUM(E85:AI85)</f>
        <v>0</v>
      </c>
      <c r="AK85" s="990">
        <f>ROUND(B85+D85+AJ85,8)</f>
        <v>0</v>
      </c>
      <c r="AL85" s="141" t="s">
        <v>434</v>
      </c>
      <c r="AM85" s="91"/>
      <c r="AN85" s="113"/>
      <c r="AO85" s="89"/>
      <c r="AP85" s="89"/>
      <c r="AQ85" s="89"/>
      <c r="AR85" s="89"/>
    </row>
    <row r="86" spans="1:44" ht="15" hidden="1" customHeight="1" outlineLevel="1" x14ac:dyDescent="0.2">
      <c r="A86" s="8" t="s">
        <v>424</v>
      </c>
      <c r="B86" s="934"/>
      <c r="C86" s="935" t="s">
        <v>435</v>
      </c>
      <c r="D86" s="936"/>
      <c r="E86" s="937" t="s">
        <v>436</v>
      </c>
      <c r="F86" s="938" t="s">
        <v>436</v>
      </c>
      <c r="G86" s="938" t="s">
        <v>436</v>
      </c>
      <c r="H86" s="938" t="s">
        <v>436</v>
      </c>
      <c r="I86" s="938" t="s">
        <v>436</v>
      </c>
      <c r="J86" s="938" t="s">
        <v>436</v>
      </c>
      <c r="K86" s="938" t="s">
        <v>436</v>
      </c>
      <c r="L86" s="938" t="s">
        <v>436</v>
      </c>
      <c r="M86" s="938" t="s">
        <v>436</v>
      </c>
      <c r="N86" s="938" t="s">
        <v>436</v>
      </c>
      <c r="O86" s="938" t="s">
        <v>436</v>
      </c>
      <c r="P86" s="938" t="s">
        <v>436</v>
      </c>
      <c r="Q86" s="938" t="s">
        <v>436</v>
      </c>
      <c r="R86" s="938" t="s">
        <v>436</v>
      </c>
      <c r="S86" s="938" t="s">
        <v>436</v>
      </c>
      <c r="T86" s="938" t="s">
        <v>436</v>
      </c>
      <c r="U86" s="938" t="s">
        <v>436</v>
      </c>
      <c r="V86" s="938" t="s">
        <v>436</v>
      </c>
      <c r="W86" s="938" t="s">
        <v>436</v>
      </c>
      <c r="X86" s="938" t="s">
        <v>436</v>
      </c>
      <c r="Y86" s="938" t="s">
        <v>436</v>
      </c>
      <c r="Z86" s="938" t="s">
        <v>436</v>
      </c>
      <c r="AA86" s="938" t="s">
        <v>436</v>
      </c>
      <c r="AB86" s="938" t="s">
        <v>436</v>
      </c>
      <c r="AC86" s="938" t="s">
        <v>436</v>
      </c>
      <c r="AD86" s="938" t="s">
        <v>436</v>
      </c>
      <c r="AE86" s="938" t="s">
        <v>436</v>
      </c>
      <c r="AF86" s="938" t="s">
        <v>436</v>
      </c>
      <c r="AG86" s="938" t="s">
        <v>436</v>
      </c>
      <c r="AH86" s="938" t="s">
        <v>436</v>
      </c>
      <c r="AI86" s="939" t="s">
        <v>436</v>
      </c>
      <c r="AK86" s="210"/>
      <c r="AL86" s="141" t="s">
        <v>437</v>
      </c>
      <c r="AM86" s="89"/>
      <c r="AN86" s="113"/>
      <c r="AO86" s="89"/>
      <c r="AP86" s="89"/>
      <c r="AQ86" s="89"/>
      <c r="AR86" s="89"/>
    </row>
    <row r="87" spans="1:44" ht="15" hidden="1" customHeight="1" outlineLevel="1" x14ac:dyDescent="0.2">
      <c r="A87" s="8" t="s">
        <v>424</v>
      </c>
      <c r="B87" s="934"/>
      <c r="C87" s="934" t="str">
        <f>"Zuschlagsber. = " &amp; Eingabeblatt!$D$7</f>
        <v>Zuschlagsber. = NEIN</v>
      </c>
      <c r="D87" s="936"/>
      <c r="E87" s="940"/>
      <c r="F87" s="941"/>
      <c r="G87" s="941"/>
      <c r="H87" s="941"/>
      <c r="I87" s="941"/>
      <c r="J87" s="941"/>
      <c r="K87" s="941"/>
      <c r="L87" s="941"/>
      <c r="M87" s="941"/>
      <c r="N87" s="941"/>
      <c r="O87" s="941"/>
      <c r="P87" s="941"/>
      <c r="Q87" s="941"/>
      <c r="R87" s="941"/>
      <c r="S87" s="941"/>
      <c r="T87" s="941"/>
      <c r="U87" s="941"/>
      <c r="V87" s="941"/>
      <c r="W87" s="941"/>
      <c r="X87" s="941"/>
      <c r="Y87" s="941"/>
      <c r="Z87" s="941"/>
      <c r="AA87" s="941"/>
      <c r="AB87" s="941"/>
      <c r="AC87" s="941"/>
      <c r="AD87" s="941"/>
      <c r="AE87" s="941"/>
      <c r="AF87" s="941"/>
      <c r="AG87" s="941"/>
      <c r="AH87" s="941"/>
      <c r="AI87" s="942"/>
      <c r="AK87" s="210"/>
      <c r="AL87" s="113"/>
      <c r="AM87" s="113"/>
      <c r="AN87" s="113"/>
      <c r="AO87" s="89"/>
      <c r="AP87" s="89"/>
      <c r="AQ87" s="89"/>
      <c r="AR87" s="89"/>
    </row>
    <row r="88" spans="1:44" hidden="1" outlineLevel="1" collapsed="1" x14ac:dyDescent="0.2">
      <c r="E88" s="323"/>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5"/>
      <c r="AK88" s="211"/>
      <c r="AL88" s="113"/>
      <c r="AM88" s="89"/>
      <c r="AN88" s="113"/>
      <c r="AO88" s="89"/>
      <c r="AP88" s="89"/>
      <c r="AQ88" s="89"/>
      <c r="AR88" s="89"/>
    </row>
    <row r="89" spans="1:44" ht="12.75" hidden="1" customHeight="1" outlineLevel="1" x14ac:dyDescent="0.2">
      <c r="C89" s="212"/>
      <c r="E89" s="326"/>
      <c r="F89" s="324"/>
      <c r="G89" s="324"/>
      <c r="H89" s="324"/>
      <c r="I89" s="324"/>
      <c r="J89" s="324"/>
      <c r="K89" s="324"/>
      <c r="L89" s="324"/>
      <c r="M89" s="324"/>
      <c r="N89" s="324" t="s">
        <v>438</v>
      </c>
      <c r="O89" s="324"/>
      <c r="P89" s="324"/>
      <c r="Q89" s="324"/>
      <c r="R89" s="324"/>
      <c r="S89" s="324"/>
      <c r="T89" s="324"/>
      <c r="U89" s="324"/>
      <c r="V89" s="324"/>
      <c r="W89" s="324"/>
      <c r="X89" s="324"/>
      <c r="Y89" s="324"/>
      <c r="Z89" s="324"/>
      <c r="AA89" s="324"/>
      <c r="AB89" s="324"/>
      <c r="AC89" s="324"/>
      <c r="AD89" s="324"/>
      <c r="AE89" s="324"/>
      <c r="AF89" s="324"/>
      <c r="AG89" s="324"/>
      <c r="AH89" s="324"/>
      <c r="AI89" s="325"/>
      <c r="AK89" s="210"/>
      <c r="AL89" s="113"/>
      <c r="AM89" s="89"/>
      <c r="AN89" s="89"/>
      <c r="AO89" s="89"/>
      <c r="AP89" s="89"/>
      <c r="AQ89" s="89"/>
      <c r="AR89" s="89"/>
    </row>
    <row r="90" spans="1:44" ht="28.5" hidden="1" customHeight="1" outlineLevel="1" x14ac:dyDescent="0.2">
      <c r="C90" s="213" t="s">
        <v>439</v>
      </c>
      <c r="E90" s="326"/>
      <c r="F90" s="324"/>
      <c r="G90" s="324"/>
      <c r="H90" s="324"/>
      <c r="I90" s="324"/>
      <c r="J90" s="324"/>
      <c r="K90" s="327"/>
      <c r="L90" s="327"/>
      <c r="M90" s="327"/>
      <c r="N90" s="324"/>
      <c r="O90" s="324"/>
      <c r="P90" s="324"/>
      <c r="Q90" s="324"/>
      <c r="R90" s="324"/>
      <c r="S90" s="324"/>
      <c r="T90" s="324"/>
      <c r="U90" s="324"/>
      <c r="V90" s="324"/>
      <c r="W90" s="324"/>
      <c r="X90" s="324"/>
      <c r="Y90" s="324"/>
      <c r="Z90" s="324"/>
      <c r="AA90" s="324"/>
      <c r="AB90" s="324"/>
      <c r="AC90" s="324"/>
      <c r="AD90" s="324"/>
      <c r="AE90" s="324"/>
      <c r="AF90" s="324"/>
      <c r="AG90" s="324"/>
      <c r="AH90" s="324"/>
      <c r="AI90" s="325"/>
      <c r="AK90" s="210"/>
      <c r="AL90" s="113"/>
      <c r="AM90" s="89"/>
      <c r="AN90" s="89"/>
      <c r="AO90" s="89"/>
      <c r="AP90" s="89"/>
      <c r="AQ90" s="89"/>
      <c r="AR90" s="89"/>
    </row>
    <row r="91" spans="1:44" ht="28.5" hidden="1" customHeight="1" outlineLevel="1" thickBot="1" x14ac:dyDescent="0.3">
      <c r="C91" s="214" t="s">
        <v>440</v>
      </c>
      <c r="D91" s="215"/>
      <c r="E91" s="236"/>
      <c r="F91" s="327"/>
      <c r="G91" s="327"/>
      <c r="H91" s="327"/>
      <c r="I91" s="327"/>
      <c r="J91" s="327"/>
      <c r="K91" s="327"/>
      <c r="L91" s="327"/>
      <c r="M91" s="327"/>
      <c r="N91" s="327"/>
      <c r="O91" s="327"/>
      <c r="P91" s="327"/>
      <c r="Q91" s="327"/>
      <c r="R91" s="327"/>
      <c r="S91" s="327"/>
      <c r="T91" s="327"/>
      <c r="U91" s="328" t="s">
        <v>441</v>
      </c>
      <c r="V91" s="327"/>
      <c r="W91" s="327"/>
      <c r="X91" s="327"/>
      <c r="Y91" s="327"/>
      <c r="Z91" s="327"/>
      <c r="AA91" s="327"/>
      <c r="AB91" s="327"/>
      <c r="AC91" s="327"/>
      <c r="AD91" s="327"/>
      <c r="AE91" s="327"/>
      <c r="AF91" s="328" t="s">
        <v>442</v>
      </c>
      <c r="AG91" s="327"/>
      <c r="AH91" s="943"/>
      <c r="AI91" s="329"/>
      <c r="AJ91" s="88"/>
      <c r="AK91" s="216"/>
      <c r="AL91" s="113"/>
      <c r="AM91" s="89"/>
      <c r="AN91" s="89"/>
      <c r="AO91" s="89"/>
      <c r="AP91" s="89"/>
      <c r="AQ91" s="89"/>
      <c r="AR91" s="89"/>
    </row>
    <row r="92" spans="1:44" ht="28.5" hidden="1" customHeight="1" outlineLevel="1" thickBot="1" x14ac:dyDescent="0.25">
      <c r="C92" s="217" t="s">
        <v>443</v>
      </c>
      <c r="E92" s="326"/>
      <c r="F92" s="324"/>
      <c r="G92" s="324"/>
      <c r="H92" s="324"/>
      <c r="I92" s="330"/>
      <c r="J92" s="324"/>
      <c r="K92" s="327"/>
      <c r="L92" s="327"/>
      <c r="M92" s="327"/>
      <c r="N92" s="324"/>
      <c r="O92" s="324"/>
      <c r="P92" s="324"/>
      <c r="Q92" s="324"/>
      <c r="R92" s="324"/>
      <c r="S92" s="324"/>
      <c r="T92" s="324"/>
      <c r="U92" s="324"/>
      <c r="V92" s="324"/>
      <c r="W92" s="324"/>
      <c r="X92" s="324"/>
      <c r="Y92" s="324"/>
      <c r="Z92" s="324"/>
      <c r="AA92" s="324"/>
      <c r="AB92" s="324"/>
      <c r="AC92" s="324"/>
      <c r="AD92" s="324"/>
      <c r="AE92" s="324"/>
      <c r="AF92" s="324"/>
      <c r="AG92" s="324"/>
      <c r="AH92" s="324"/>
      <c r="AI92" s="325"/>
      <c r="AK92" s="210"/>
      <c r="AL92" s="113"/>
      <c r="AM92" s="89"/>
      <c r="AN92" s="89"/>
      <c r="AO92" s="89"/>
      <c r="AP92" s="89"/>
      <c r="AQ92" s="89"/>
      <c r="AR92" s="89"/>
    </row>
    <row r="93" spans="1:44" ht="28.5" hidden="1" customHeight="1" outlineLevel="1" x14ac:dyDescent="0.2">
      <c r="C93" s="217"/>
      <c r="E93" s="326"/>
      <c r="F93" s="324"/>
      <c r="G93" s="324"/>
      <c r="H93" s="324"/>
      <c r="I93" s="324"/>
      <c r="J93" s="324"/>
      <c r="K93" s="327"/>
      <c r="L93" s="327"/>
      <c r="M93" s="327"/>
      <c r="N93" s="324"/>
      <c r="O93" s="324"/>
      <c r="P93" s="324"/>
      <c r="Q93" s="324"/>
      <c r="R93" s="324"/>
      <c r="S93" s="324"/>
      <c r="T93" s="324"/>
      <c r="U93" s="324"/>
      <c r="V93" s="324"/>
      <c r="W93" s="324"/>
      <c r="X93" s="324"/>
      <c r="Y93" s="324"/>
      <c r="Z93" s="324"/>
      <c r="AA93" s="324"/>
      <c r="AB93" s="324"/>
      <c r="AC93" s="324"/>
      <c r="AD93" s="324"/>
      <c r="AE93" s="324"/>
      <c r="AF93" s="324"/>
      <c r="AG93" s="324"/>
      <c r="AH93" s="324"/>
      <c r="AI93" s="325"/>
      <c r="AK93" s="210"/>
      <c r="AL93" s="113"/>
      <c r="AM93" s="89"/>
      <c r="AN93" s="89"/>
      <c r="AO93" s="89"/>
      <c r="AP93" s="89"/>
      <c r="AQ93" s="89"/>
      <c r="AR93" s="89"/>
    </row>
    <row r="94" spans="1:44" collapsed="1" x14ac:dyDescent="0.2">
      <c r="A94" s="165"/>
      <c r="B94" s="185"/>
      <c r="C94" s="340" t="str">
        <f>IF(ctArbeitsgebiete!H20&lt;&gt;"",ctArbeitsgebiete!H20,"")</f>
        <v/>
      </c>
      <c r="D94" s="334"/>
      <c r="E94" s="944"/>
      <c r="F94" s="945"/>
      <c r="G94" s="945"/>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6"/>
      <c r="AJ94" s="1082">
        <f>SUM(E94:AI94)</f>
        <v>0</v>
      </c>
      <c r="AK94" s="152"/>
      <c r="AL94" s="113"/>
      <c r="AM94" s="89"/>
      <c r="AN94" s="89"/>
      <c r="AO94" s="89"/>
      <c r="AP94" s="89"/>
      <c r="AQ94" s="89"/>
      <c r="AR94" s="89"/>
    </row>
    <row r="95" spans="1:44" x14ac:dyDescent="0.2">
      <c r="A95" s="165"/>
      <c r="B95" s="185"/>
      <c r="C95" s="340" t="str">
        <f>IF(ctArbeitsgebiete!H21&lt;&gt;"",ctArbeitsgebiete!H21,"")</f>
        <v/>
      </c>
      <c r="D95" s="334"/>
      <c r="E95" s="944"/>
      <c r="F95" s="945"/>
      <c r="G95" s="945"/>
      <c r="H95" s="945"/>
      <c r="I95" s="945"/>
      <c r="J95" s="945"/>
      <c r="K95" s="945"/>
      <c r="L95" s="945"/>
      <c r="M95" s="945"/>
      <c r="N95" s="945"/>
      <c r="O95" s="945"/>
      <c r="P95" s="945"/>
      <c r="Q95" s="945"/>
      <c r="R95" s="945"/>
      <c r="S95" s="945"/>
      <c r="T95" s="945"/>
      <c r="U95" s="945"/>
      <c r="V95" s="945"/>
      <c r="W95" s="945"/>
      <c r="X95" s="945"/>
      <c r="Y95" s="945"/>
      <c r="Z95" s="945"/>
      <c r="AA95" s="945"/>
      <c r="AB95" s="945"/>
      <c r="AC95" s="945"/>
      <c r="AD95" s="945"/>
      <c r="AE95" s="945"/>
      <c r="AF95" s="945"/>
      <c r="AG95" s="945"/>
      <c r="AH95" s="945"/>
      <c r="AI95" s="946"/>
      <c r="AJ95" s="338">
        <f t="shared" ref="AJ95:AJ105" si="15">SUM(E95:AI95)</f>
        <v>0</v>
      </c>
      <c r="AK95" s="152"/>
      <c r="AL95" s="113"/>
      <c r="AM95" s="89"/>
      <c r="AN95" s="89"/>
      <c r="AO95" s="89"/>
      <c r="AP95" s="89"/>
      <c r="AQ95" s="89"/>
      <c r="AR95" s="89"/>
    </row>
    <row r="96" spans="1:44" x14ac:dyDescent="0.2">
      <c r="A96" s="165"/>
      <c r="B96" s="185"/>
      <c r="C96" s="340" t="str">
        <f>IF(ctArbeitsgebiete!H22&lt;&gt;"",ctArbeitsgebiete!H22,"")</f>
        <v/>
      </c>
      <c r="D96" s="334"/>
      <c r="E96" s="944"/>
      <c r="F96" s="945"/>
      <c r="G96" s="945"/>
      <c r="H96" s="945"/>
      <c r="I96" s="945"/>
      <c r="J96" s="945"/>
      <c r="K96" s="945"/>
      <c r="L96" s="945"/>
      <c r="M96" s="945"/>
      <c r="N96" s="945"/>
      <c r="O96" s="945"/>
      <c r="P96" s="945"/>
      <c r="Q96" s="945"/>
      <c r="R96" s="945"/>
      <c r="S96" s="945"/>
      <c r="T96" s="945"/>
      <c r="U96" s="945"/>
      <c r="V96" s="945"/>
      <c r="W96" s="945"/>
      <c r="X96" s="945"/>
      <c r="Y96" s="945"/>
      <c r="Z96" s="945"/>
      <c r="AA96" s="945"/>
      <c r="AB96" s="945"/>
      <c r="AC96" s="945"/>
      <c r="AD96" s="945"/>
      <c r="AE96" s="945"/>
      <c r="AF96" s="945"/>
      <c r="AG96" s="945"/>
      <c r="AH96" s="945"/>
      <c r="AI96" s="946"/>
      <c r="AJ96" s="338">
        <f t="shared" si="15"/>
        <v>0</v>
      </c>
      <c r="AK96" s="152"/>
      <c r="AL96" s="113"/>
      <c r="AM96" s="89"/>
      <c r="AN96" s="89"/>
      <c r="AO96" s="89"/>
      <c r="AP96" s="89"/>
      <c r="AQ96" s="89"/>
      <c r="AR96" s="89"/>
    </row>
    <row r="97" spans="1:44" x14ac:dyDescent="0.2">
      <c r="A97" s="165"/>
      <c r="B97" s="185"/>
      <c r="C97" s="340" t="str">
        <f>IF(ctArbeitsgebiete!H23&lt;&gt;"",ctArbeitsgebiete!H23,"")</f>
        <v/>
      </c>
      <c r="D97" s="334"/>
      <c r="E97" s="944"/>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6"/>
      <c r="AJ97" s="338">
        <f t="shared" si="15"/>
        <v>0</v>
      </c>
      <c r="AK97" s="152"/>
      <c r="AL97" s="113"/>
      <c r="AM97" s="89"/>
      <c r="AN97" s="89"/>
      <c r="AO97" s="89"/>
      <c r="AP97" s="89"/>
      <c r="AQ97" s="89"/>
      <c r="AR97" s="89"/>
    </row>
    <row r="98" spans="1:44" x14ac:dyDescent="0.2">
      <c r="A98" s="165"/>
      <c r="B98" s="185"/>
      <c r="C98" s="340" t="str">
        <f>IF(ctArbeitsgebiete!H24&lt;&gt;"",ctArbeitsgebiete!H24,"")</f>
        <v/>
      </c>
      <c r="D98" s="334"/>
      <c r="E98" s="944"/>
      <c r="F98" s="945"/>
      <c r="G98" s="945"/>
      <c r="H98" s="945"/>
      <c r="I98" s="945"/>
      <c r="J98" s="945"/>
      <c r="K98" s="945"/>
      <c r="L98" s="945"/>
      <c r="M98" s="945"/>
      <c r="N98" s="945"/>
      <c r="O98" s="945"/>
      <c r="P98" s="945"/>
      <c r="Q98" s="945"/>
      <c r="R98" s="945"/>
      <c r="S98" s="945"/>
      <c r="T98" s="945"/>
      <c r="U98" s="945"/>
      <c r="V98" s="945"/>
      <c r="W98" s="945"/>
      <c r="X98" s="945"/>
      <c r="Y98" s="945"/>
      <c r="Z98" s="945"/>
      <c r="AA98" s="945"/>
      <c r="AB98" s="945"/>
      <c r="AC98" s="945"/>
      <c r="AD98" s="945"/>
      <c r="AE98" s="945"/>
      <c r="AF98" s="945"/>
      <c r="AG98" s="945"/>
      <c r="AH98" s="945"/>
      <c r="AI98" s="946"/>
      <c r="AJ98" s="338">
        <f t="shared" si="15"/>
        <v>0</v>
      </c>
      <c r="AK98" s="152"/>
      <c r="AL98" s="113"/>
      <c r="AM98" s="89"/>
      <c r="AN98" s="89"/>
      <c r="AO98" s="89"/>
      <c r="AP98" s="89"/>
      <c r="AQ98" s="89"/>
      <c r="AR98" s="89"/>
    </row>
    <row r="99" spans="1:44" x14ac:dyDescent="0.2">
      <c r="A99" s="165"/>
      <c r="B99" s="185"/>
      <c r="C99" s="340" t="str">
        <f>IF(ctArbeitsgebiete!H25&lt;&gt;"",ctArbeitsgebiete!H25,"")</f>
        <v/>
      </c>
      <c r="D99" s="334"/>
      <c r="E99" s="944"/>
      <c r="F99" s="945"/>
      <c r="G99" s="945"/>
      <c r="H99" s="945"/>
      <c r="I99" s="945"/>
      <c r="J99" s="945"/>
      <c r="K99" s="945"/>
      <c r="L99" s="945"/>
      <c r="M99" s="945"/>
      <c r="N99" s="945"/>
      <c r="O99" s="945"/>
      <c r="P99" s="945"/>
      <c r="Q99" s="945"/>
      <c r="R99" s="945"/>
      <c r="S99" s="945"/>
      <c r="T99" s="945"/>
      <c r="U99" s="945"/>
      <c r="V99" s="945"/>
      <c r="W99" s="945"/>
      <c r="X99" s="945"/>
      <c r="Y99" s="945"/>
      <c r="Z99" s="945"/>
      <c r="AA99" s="945"/>
      <c r="AB99" s="945"/>
      <c r="AC99" s="945"/>
      <c r="AD99" s="945"/>
      <c r="AE99" s="945"/>
      <c r="AF99" s="945"/>
      <c r="AG99" s="945"/>
      <c r="AH99" s="945"/>
      <c r="AI99" s="946"/>
      <c r="AJ99" s="338">
        <f t="shared" si="15"/>
        <v>0</v>
      </c>
      <c r="AK99" s="152"/>
      <c r="AL99" s="113"/>
      <c r="AM99" s="89"/>
      <c r="AN99" s="89"/>
      <c r="AO99" s="89"/>
      <c r="AP99" s="89"/>
      <c r="AQ99" s="89"/>
      <c r="AR99" s="89"/>
    </row>
    <row r="100" spans="1:44" x14ac:dyDescent="0.2">
      <c r="A100" s="165"/>
      <c r="B100" s="185"/>
      <c r="C100" s="340" t="str">
        <f>IF(ctArbeitsgebiete!H26&lt;&gt;"",ctArbeitsgebiete!H26,"")</f>
        <v/>
      </c>
      <c r="D100" s="334"/>
      <c r="E100" s="944"/>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B100" s="945"/>
      <c r="AC100" s="945"/>
      <c r="AD100" s="945"/>
      <c r="AE100" s="945"/>
      <c r="AF100" s="945"/>
      <c r="AG100" s="945"/>
      <c r="AH100" s="945"/>
      <c r="AI100" s="946"/>
      <c r="AJ100" s="338">
        <f t="shared" si="15"/>
        <v>0</v>
      </c>
      <c r="AK100" s="152"/>
      <c r="AL100" s="113"/>
      <c r="AM100" s="89"/>
      <c r="AN100" s="89"/>
      <c r="AO100" s="89"/>
      <c r="AP100" s="89"/>
      <c r="AQ100" s="89"/>
      <c r="AR100" s="89"/>
    </row>
    <row r="101" spans="1:44" x14ac:dyDescent="0.2">
      <c r="A101" s="165"/>
      <c r="B101" s="185"/>
      <c r="C101" s="345" t="str">
        <f>IF(ctArbeitsgebiete!H27&lt;&gt;"",ctArbeitsgebiete!H27,"")</f>
        <v/>
      </c>
      <c r="D101" s="346"/>
      <c r="E101" s="947"/>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9"/>
      <c r="AJ101" s="347">
        <f t="shared" si="15"/>
        <v>0</v>
      </c>
      <c r="AK101" s="152"/>
      <c r="AL101" s="113"/>
      <c r="AM101" s="89"/>
      <c r="AN101" s="89"/>
      <c r="AO101" s="89"/>
      <c r="AP101" s="89"/>
      <c r="AQ101" s="89"/>
      <c r="AR101" s="89"/>
    </row>
    <row r="102" spans="1:44" x14ac:dyDescent="0.2">
      <c r="A102" s="165"/>
      <c r="B102" s="185"/>
      <c r="C102" s="992" t="str">
        <f>IF(ctArbeitsgebiete!E24&lt;&gt;"",ctArbeitsgebiete!E24,"")</f>
        <v/>
      </c>
      <c r="D102" s="1083"/>
      <c r="E102" s="1084"/>
      <c r="F102" s="1085"/>
      <c r="G102" s="1085"/>
      <c r="H102" s="1085"/>
      <c r="I102" s="1085"/>
      <c r="J102" s="1085"/>
      <c r="K102" s="1085"/>
      <c r="L102" s="1085"/>
      <c r="M102" s="1085"/>
      <c r="N102" s="1085"/>
      <c r="O102" s="1085"/>
      <c r="P102" s="1085"/>
      <c r="Q102" s="1085"/>
      <c r="R102" s="1085"/>
      <c r="S102" s="1085"/>
      <c r="T102" s="1085"/>
      <c r="U102" s="1085"/>
      <c r="V102" s="1085"/>
      <c r="W102" s="1085"/>
      <c r="X102" s="1085"/>
      <c r="Y102" s="1085"/>
      <c r="Z102" s="1085"/>
      <c r="AA102" s="1085"/>
      <c r="AB102" s="1085"/>
      <c r="AC102" s="1085"/>
      <c r="AD102" s="1085"/>
      <c r="AE102" s="1085"/>
      <c r="AF102" s="1085"/>
      <c r="AG102" s="1085"/>
      <c r="AH102" s="1085"/>
      <c r="AI102" s="1086"/>
      <c r="AJ102" s="1087">
        <f t="shared" si="15"/>
        <v>0</v>
      </c>
      <c r="AK102" s="152"/>
      <c r="AL102" s="113"/>
      <c r="AM102" s="89"/>
      <c r="AN102" s="89"/>
      <c r="AO102" s="89"/>
      <c r="AP102" s="89"/>
      <c r="AQ102" s="89"/>
      <c r="AR102" s="89"/>
    </row>
    <row r="103" spans="1:44" x14ac:dyDescent="0.2">
      <c r="A103" s="165"/>
      <c r="B103" s="185"/>
      <c r="C103" s="342" t="str">
        <f>IF(ctArbeitsgebiete!E25&lt;&gt;"",ctArbeitsgebiete!E25,"")</f>
        <v/>
      </c>
      <c r="D103" s="341"/>
      <c r="E103" s="944"/>
      <c r="F103" s="945"/>
      <c r="G103" s="945"/>
      <c r="H103" s="945"/>
      <c r="I103" s="945"/>
      <c r="J103" s="945"/>
      <c r="K103" s="945"/>
      <c r="L103" s="945"/>
      <c r="M103" s="945"/>
      <c r="N103" s="945"/>
      <c r="O103" s="945"/>
      <c r="P103" s="945"/>
      <c r="Q103" s="945"/>
      <c r="R103" s="945"/>
      <c r="S103" s="945"/>
      <c r="T103" s="945"/>
      <c r="U103" s="945"/>
      <c r="V103" s="945"/>
      <c r="W103" s="945"/>
      <c r="X103" s="945"/>
      <c r="Y103" s="945"/>
      <c r="Z103" s="945"/>
      <c r="AA103" s="945"/>
      <c r="AB103" s="945"/>
      <c r="AC103" s="945"/>
      <c r="AD103" s="945"/>
      <c r="AE103" s="945"/>
      <c r="AF103" s="945"/>
      <c r="AG103" s="945"/>
      <c r="AH103" s="945"/>
      <c r="AI103" s="946"/>
      <c r="AJ103" s="343">
        <f t="shared" si="15"/>
        <v>0</v>
      </c>
      <c r="AK103" s="152"/>
      <c r="AL103" s="113"/>
      <c r="AM103" s="89"/>
      <c r="AN103" s="89"/>
      <c r="AO103" s="89"/>
      <c r="AP103" s="89"/>
      <c r="AQ103" s="89"/>
      <c r="AR103" s="89"/>
    </row>
    <row r="104" spans="1:44" x14ac:dyDescent="0.2">
      <c r="A104" s="165"/>
      <c r="B104" s="185"/>
      <c r="C104" s="342" t="str">
        <f>IF(ctArbeitsgebiete!E26&lt;&gt;"",ctArbeitsgebiete!E26,"")</f>
        <v/>
      </c>
      <c r="D104" s="341"/>
      <c r="E104" s="944"/>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B104" s="945"/>
      <c r="AC104" s="945"/>
      <c r="AD104" s="945"/>
      <c r="AE104" s="945"/>
      <c r="AF104" s="945"/>
      <c r="AG104" s="945"/>
      <c r="AH104" s="945"/>
      <c r="AI104" s="946"/>
      <c r="AJ104" s="343">
        <f t="shared" si="15"/>
        <v>0</v>
      </c>
      <c r="AK104" s="152"/>
      <c r="AL104" s="113"/>
      <c r="AM104" s="89"/>
      <c r="AN104" s="89"/>
      <c r="AO104" s="89"/>
      <c r="AP104" s="89"/>
      <c r="AQ104" s="89"/>
      <c r="AR104" s="89"/>
    </row>
    <row r="105" spans="1:44" ht="13.5" thickBot="1" x14ac:dyDescent="0.25">
      <c r="A105" s="165"/>
      <c r="B105" s="185"/>
      <c r="C105" s="342" t="str">
        <f>IF(ctArbeitsgebiete!E27&lt;&gt;"",ctArbeitsgebiete!E27,"")</f>
        <v/>
      </c>
      <c r="D105" s="341"/>
      <c r="E105" s="950"/>
      <c r="F105" s="951"/>
      <c r="G105" s="951"/>
      <c r="H105" s="951"/>
      <c r="I105" s="951"/>
      <c r="J105" s="951"/>
      <c r="K105" s="951"/>
      <c r="L105" s="951"/>
      <c r="M105" s="951"/>
      <c r="N105" s="951"/>
      <c r="O105" s="951"/>
      <c r="P105" s="951"/>
      <c r="Q105" s="951"/>
      <c r="R105" s="951"/>
      <c r="S105" s="951"/>
      <c r="T105" s="951"/>
      <c r="U105" s="951"/>
      <c r="V105" s="951"/>
      <c r="W105" s="951"/>
      <c r="X105" s="951"/>
      <c r="Y105" s="951"/>
      <c r="Z105" s="951"/>
      <c r="AA105" s="951"/>
      <c r="AB105" s="951"/>
      <c r="AC105" s="951"/>
      <c r="AD105" s="951"/>
      <c r="AE105" s="951"/>
      <c r="AF105" s="951"/>
      <c r="AG105" s="951"/>
      <c r="AH105" s="951"/>
      <c r="AI105" s="952"/>
      <c r="AJ105" s="344">
        <f t="shared" si="15"/>
        <v>0</v>
      </c>
      <c r="AK105" s="152"/>
      <c r="AL105" s="113"/>
      <c r="AM105" s="89"/>
      <c r="AN105" s="89"/>
      <c r="AO105" s="89"/>
      <c r="AP105" s="89"/>
      <c r="AQ105" s="89"/>
      <c r="AR105" s="89"/>
    </row>
    <row r="106" spans="1:44" s="218" customFormat="1" ht="63.75" collapsed="1" x14ac:dyDescent="0.2">
      <c r="C106" s="219" t="s">
        <v>444</v>
      </c>
      <c r="D106" s="220"/>
      <c r="E106" s="335"/>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6"/>
      <c r="AF106" s="336"/>
      <c r="AG106" s="336"/>
      <c r="AH106" s="336"/>
      <c r="AI106" s="337"/>
      <c r="AJ106" s="339">
        <f>SUM(E106:AI106)</f>
        <v>0</v>
      </c>
      <c r="AL106" s="222"/>
    </row>
  </sheetData>
  <sheetProtection algorithmName="SHA-512" hashValue="LM9GNGsKhhNo96plPSELOfuv/SaUXyFd6kGUd4BeY5lQYJ3RwXNcCZHT1PIMgkFAflLQCc312MArcvJeQ1UwvA==" saltValue="GVIyo6A50eRB4AgYHfR5yg==" spinCount="100000" sheet="1" selectLockedCells="1"/>
  <mergeCells count="1">
    <mergeCell ref="D3:D4"/>
  </mergeCells>
  <phoneticPr fontId="9" type="noConversion"/>
  <conditionalFormatting sqref="E3:AH4">
    <cfRule type="expression" dxfId="124" priority="64" stopIfTrue="1">
      <formula>WEEKDAY(E$3,2)=7</formula>
    </cfRule>
  </conditionalFormatting>
  <conditionalFormatting sqref="E7:AH7">
    <cfRule type="expression" dxfId="123" priority="1" stopIfTrue="1">
      <formula>WEEKDAY(E$3,2)=6</formula>
    </cfRule>
    <cfRule type="expression" dxfId="122" priority="2" stopIfTrue="1">
      <formula>WEEKDAY(E$3,2)=7</formula>
    </cfRule>
  </conditionalFormatting>
  <conditionalFormatting sqref="E8:AH8 E10:AH10 E12:AH12">
    <cfRule type="expression" dxfId="121" priority="61" stopIfTrue="1">
      <formula>WEEKDAY(E$3,2)=6</formula>
    </cfRule>
    <cfRule type="expression" dxfId="120" priority="62" stopIfTrue="1">
      <formula>WEEKDAY(E$3,2)=7</formula>
    </cfRule>
  </conditionalFormatting>
  <conditionalFormatting sqref="E9:AH9 E11:AH11">
    <cfRule type="expression" dxfId="119" priority="59" stopIfTrue="1">
      <formula>WEEKDAY(E$3,2)=6</formula>
    </cfRule>
    <cfRule type="expression" dxfId="118" priority="60" stopIfTrue="1">
      <formula>WEEKDAY(E$3,2)=7</formula>
    </cfRule>
  </conditionalFormatting>
  <conditionalFormatting sqref="E3:AI4">
    <cfRule type="expression" dxfId="117" priority="63" stopIfTrue="1">
      <formula>WEEKDAY(E$3,2)=6</formula>
    </cfRule>
  </conditionalFormatting>
  <conditionalFormatting sqref="E13:AI18">
    <cfRule type="expression" dxfId="116" priority="65" stopIfTrue="1">
      <formula>WEEKDAY(E$3,2)=6</formula>
    </cfRule>
    <cfRule type="expression" dxfId="115" priority="66" stopIfTrue="1">
      <formula>WEEKDAY(E$3,2)=7</formula>
    </cfRule>
  </conditionalFormatting>
  <conditionalFormatting sqref="E19:AI19">
    <cfRule type="expression" dxfId="114" priority="67" stopIfTrue="1">
      <formula>WEEKDAY(E$3,2)=6</formula>
    </cfRule>
    <cfRule type="expression" dxfId="113" priority="68" stopIfTrue="1">
      <formula>WEEKDAY(E$3,2)=7</formula>
    </cfRule>
  </conditionalFormatting>
  <conditionalFormatting sqref="E20:AI20 E39:AI39">
    <cfRule type="expression" dxfId="112" priority="55" stopIfTrue="1">
      <formula>WEEKDAY(E$3,2)=6</formula>
    </cfRule>
    <cfRule type="expression" dxfId="111" priority="56" stopIfTrue="1">
      <formula>WEEKDAY(E$3,2)=7</formula>
    </cfRule>
  </conditionalFormatting>
  <conditionalFormatting sqref="E21:AI21 E33:AI38">
    <cfRule type="expression" dxfId="110" priority="53" stopIfTrue="1">
      <formula>WEEKDAY(E$3,2)=6</formula>
    </cfRule>
    <cfRule type="expression" dxfId="109" priority="54" stopIfTrue="1">
      <formula>WEEKDAY(E$3,2)=7</formula>
    </cfRule>
  </conditionalFormatting>
  <conditionalFormatting sqref="E22:AI32 E41:AI85 E94:AI106">
    <cfRule type="expression" dxfId="108" priority="57" stopIfTrue="1">
      <formula>WEEKDAY(E$3,2)=6</formula>
    </cfRule>
    <cfRule type="expression" dxfId="107" priority="58" stopIfTrue="1">
      <formula>WEEKDAY(E$3,2)=7</formula>
    </cfRule>
  </conditionalFormatting>
  <conditionalFormatting sqref="E40:AI40">
    <cfRule type="cellIs" dxfId="106" priority="69" stopIfTrue="1" operator="notEqual">
      <formula>0</formula>
    </cfRule>
    <cfRule type="expression" dxfId="105" priority="70" stopIfTrue="1">
      <formula>WEEKDAY(E$3,2)=6</formula>
    </cfRule>
    <cfRule type="expression" dxfId="104" priority="71" stopIfTrue="1">
      <formula>WEEKDAY(E$3,2)=7</formula>
    </cfRule>
  </conditionalFormatting>
  <conditionalFormatting sqref="AI3:AI4">
    <cfRule type="expression" dxfId="103" priority="75" stopIfTrue="1">
      <formula>WEEKDAY(AI$3,2)=7</formula>
    </cfRule>
  </conditionalFormatting>
  <conditionalFormatting sqref="AI7:AI12">
    <cfRule type="expression" dxfId="102" priority="72" stopIfTrue="1">
      <formula>WEEKDAY(AI$3,2)=6</formula>
    </cfRule>
    <cfRule type="expression" dxfId="101" priority="73" stopIfTrue="1">
      <formula>WEEKDAY(AI$3,2)=7</formula>
    </cfRule>
  </conditionalFormatting>
  <printOptions horizontalCentered="1" verticalCentered="1"/>
  <pageMargins left="0.19685039370078741" right="0.19685039370078741" top="0.39370078740157483" bottom="0.19685039370078741" header="0.31496062992125984" footer="0.19685039370078741"/>
  <pageSetup paperSize="9" scale="53" orientation="landscape"/>
  <headerFooter>
    <oddHeader>&amp;C&amp;12Monatsabrechnung   &amp;A</oddHead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1">
    <pageSetUpPr fitToPage="1"/>
  </sheetPr>
  <dimension ref="A1:AT106"/>
  <sheetViews>
    <sheetView showGridLines="0" showRowColHeaders="0" showZeros="0" showOutlineSymbols="0" topLeftCell="A2" zoomScale="80" zoomScaleNormal="80" workbookViewId="0">
      <pane xSplit="4" ySplit="39" topLeftCell="E41" activePane="bottomRight" state="frozen"/>
      <selection pane="topRight"/>
      <selection pane="bottomLeft"/>
      <selection pane="bottomRight" activeCell="E7" sqref="E7"/>
    </sheetView>
  </sheetViews>
  <sheetFormatPr baseColWidth="10" defaultColWidth="11.42578125" defaultRowHeight="12.75" outlineLevelRow="2" outlineLevelCol="1" x14ac:dyDescent="0.2"/>
  <cols>
    <col min="1" max="1" width="11.42578125" style="8" hidden="1" customWidth="1" outlineLevel="1"/>
    <col min="2" max="2" width="8.42578125" style="13" hidden="1" customWidth="1" outlineLevel="1"/>
    <col min="3" max="3" width="22.42578125" style="87" customWidth="1" collapsed="1"/>
    <col min="4" max="4" width="7.85546875" style="13" customWidth="1"/>
    <col min="5" max="35" width="7.42578125" style="13" customWidth="1"/>
    <col min="36" max="36" width="7.42578125" style="209" customWidth="1"/>
    <col min="37" max="37" width="7.7109375" style="13" hidden="1" customWidth="1" outlineLevel="1"/>
    <col min="38" max="38" width="15.7109375" style="182" hidden="1" customWidth="1" outlineLevel="1"/>
    <col min="39" max="40" width="11.42578125" style="8" hidden="1" customWidth="1" outlineLevel="1"/>
    <col min="41" max="41" width="26.7109375" style="8" hidden="1" customWidth="1" outlineLevel="1"/>
    <col min="42" max="44" width="11.42578125" style="8" hidden="1" customWidth="1" outlineLevel="1"/>
    <col min="45" max="45" width="11.42578125" style="8" collapsed="1"/>
    <col min="46" max="16384" width="11.42578125" style="8"/>
  </cols>
  <sheetData>
    <row r="1" spans="2:46" ht="30" hidden="1" customHeight="1" outlineLevel="1" thickBot="1" x14ac:dyDescent="0.25">
      <c r="AF1" s="8"/>
      <c r="AJ1" s="88"/>
      <c r="AK1" s="89"/>
      <c r="AL1" s="90" t="s">
        <v>406</v>
      </c>
      <c r="AM1" s="91" t="s">
        <v>407</v>
      </c>
      <c r="AN1" s="89"/>
      <c r="AO1" s="89"/>
      <c r="AP1" s="89"/>
      <c r="AQ1" s="89"/>
      <c r="AR1" s="89"/>
    </row>
    <row r="2" spans="2:46" ht="30" customHeight="1" collapsed="1" thickBot="1" x14ac:dyDescent="0.25">
      <c r="C2" s="92">
        <f>DATEVALUE("1.9."&amp;YEAR(ctPersonalangaben!H12))</f>
        <v>44804</v>
      </c>
      <c r="D2" s="93">
        <f>YEAR(ctPersonalangaben!H12)</f>
        <v>2026</v>
      </c>
      <c r="E2" s="99" t="str">
        <f>CONCATENATE("Arbeitszeit-Eingabe von ",Mitarbeiter)</f>
        <v>Arbeitszeit-Eingabe von Max Muster, Musterstelle</v>
      </c>
      <c r="F2" s="6"/>
      <c r="G2" s="6"/>
      <c r="H2" s="6"/>
      <c r="I2" s="94"/>
      <c r="J2" s="6"/>
      <c r="K2" s="6"/>
      <c r="L2" s="6"/>
      <c r="M2" s="6"/>
      <c r="N2" s="6"/>
      <c r="O2" s="6"/>
      <c r="P2" s="6"/>
      <c r="Q2" s="6"/>
      <c r="R2" s="6"/>
      <c r="S2" s="95"/>
      <c r="T2" s="96"/>
      <c r="U2" s="96"/>
      <c r="V2" s="97"/>
      <c r="W2" s="97"/>
      <c r="X2" s="97"/>
      <c r="Y2" s="97"/>
      <c r="Z2" s="97"/>
      <c r="AA2" s="97"/>
      <c r="AB2" s="97"/>
      <c r="AC2" s="97"/>
      <c r="AD2" s="98"/>
      <c r="AE2" s="97"/>
      <c r="AF2" s="99"/>
      <c r="AG2" s="100" t="s">
        <v>408</v>
      </c>
      <c r="AH2" s="99">
        <f>VLOOKUP(DATE($D$2,MONTH($C$2),$E$4),Ferienanspruch,3,TRUE)</f>
        <v>100</v>
      </c>
      <c r="AI2" s="101" t="s">
        <v>106</v>
      </c>
      <c r="AJ2" s="88"/>
      <c r="AK2" s="102"/>
      <c r="AL2" s="91"/>
      <c r="AM2" s="91" t="s">
        <v>409</v>
      </c>
      <c r="AN2" s="89"/>
      <c r="AO2" s="89"/>
      <c r="AP2" s="89"/>
      <c r="AQ2" s="89"/>
      <c r="AR2" s="89"/>
    </row>
    <row r="3" spans="2:46" x14ac:dyDescent="0.2">
      <c r="C3" s="7"/>
      <c r="D3" s="1254" t="s">
        <v>254</v>
      </c>
      <c r="E3" s="226">
        <f t="shared" ref="E3:AF3" si="0">DATE($D$2,MONTH($C$2),E$4)</f>
        <v>44804</v>
      </c>
      <c r="F3" s="103">
        <f t="shared" si="0"/>
        <v>44805</v>
      </c>
      <c r="G3" s="103">
        <f t="shared" si="0"/>
        <v>44806</v>
      </c>
      <c r="H3" s="103">
        <f t="shared" si="0"/>
        <v>44807</v>
      </c>
      <c r="I3" s="226">
        <f t="shared" si="0"/>
        <v>44808</v>
      </c>
      <c r="J3" s="103">
        <f t="shared" si="0"/>
        <v>44809</v>
      </c>
      <c r="K3" s="103">
        <f t="shared" si="0"/>
        <v>44810</v>
      </c>
      <c r="L3" s="103">
        <f t="shared" si="0"/>
        <v>44811</v>
      </c>
      <c r="M3" s="103">
        <f t="shared" si="0"/>
        <v>44812</v>
      </c>
      <c r="N3" s="103">
        <f t="shared" si="0"/>
        <v>44813</v>
      </c>
      <c r="O3" s="103">
        <f t="shared" si="0"/>
        <v>44814</v>
      </c>
      <c r="P3" s="103">
        <f t="shared" si="0"/>
        <v>44815</v>
      </c>
      <c r="Q3" s="103">
        <f t="shared" si="0"/>
        <v>44816</v>
      </c>
      <c r="R3" s="103">
        <f t="shared" si="0"/>
        <v>44817</v>
      </c>
      <c r="S3" s="103">
        <f t="shared" si="0"/>
        <v>44818</v>
      </c>
      <c r="T3" s="103">
        <f t="shared" si="0"/>
        <v>44819</v>
      </c>
      <c r="U3" s="103">
        <f t="shared" si="0"/>
        <v>44820</v>
      </c>
      <c r="V3" s="103">
        <f t="shared" si="0"/>
        <v>44821</v>
      </c>
      <c r="W3" s="103">
        <f t="shared" si="0"/>
        <v>44822</v>
      </c>
      <c r="X3" s="103">
        <f t="shared" si="0"/>
        <v>44823</v>
      </c>
      <c r="Y3" s="103">
        <f t="shared" si="0"/>
        <v>44824</v>
      </c>
      <c r="Z3" s="103">
        <f t="shared" si="0"/>
        <v>44825</v>
      </c>
      <c r="AA3" s="103">
        <f t="shared" si="0"/>
        <v>44826</v>
      </c>
      <c r="AB3" s="103">
        <f t="shared" si="0"/>
        <v>44827</v>
      </c>
      <c r="AC3" s="103">
        <f t="shared" si="0"/>
        <v>44828</v>
      </c>
      <c r="AD3" s="104">
        <f t="shared" si="0"/>
        <v>44829</v>
      </c>
      <c r="AE3" s="104">
        <f t="shared" si="0"/>
        <v>44830</v>
      </c>
      <c r="AF3" s="104">
        <f t="shared" si="0"/>
        <v>44831</v>
      </c>
      <c r="AG3" s="104">
        <f>IF(MONTH($C2+AG$5) = MONTH($C2),DATE($D$2,MONTH($C$2),AG$5+1),"")</f>
        <v>44832</v>
      </c>
      <c r="AH3" s="104">
        <f>IF(MONTH($C2+AH$5) = MONTH($C2),DATE($D$2,MONTH($C$2),AH$5+1),"")</f>
        <v>44833</v>
      </c>
      <c r="AI3" s="105" t="str">
        <f>IF(MONTH($C2+AI$5) = MONTH($C2),DATE($D$2,MONTH($C$2),AI$5+1),"")</f>
        <v/>
      </c>
      <c r="AJ3" s="88"/>
      <c r="AK3" s="106"/>
      <c r="AL3" s="91"/>
      <c r="AM3" s="91"/>
      <c r="AN3" s="89"/>
      <c r="AO3" s="89"/>
      <c r="AP3" s="89"/>
      <c r="AQ3" s="89"/>
      <c r="AR3" s="89"/>
    </row>
    <row r="4" spans="2:46" ht="19.5" customHeight="1" x14ac:dyDescent="0.2">
      <c r="C4" s="13"/>
      <c r="D4" s="1255"/>
      <c r="E4" s="227">
        <v>1</v>
      </c>
      <c r="F4" s="107">
        <v>2</v>
      </c>
      <c r="G4" s="107">
        <v>3</v>
      </c>
      <c r="H4" s="107">
        <v>4</v>
      </c>
      <c r="I4" s="227">
        <v>5</v>
      </c>
      <c r="J4" s="107">
        <v>6</v>
      </c>
      <c r="K4" s="107">
        <v>7</v>
      </c>
      <c r="L4" s="107">
        <v>8</v>
      </c>
      <c r="M4" s="107">
        <v>9</v>
      </c>
      <c r="N4" s="107">
        <v>10</v>
      </c>
      <c r="O4" s="107">
        <v>11</v>
      </c>
      <c r="P4" s="107">
        <v>12</v>
      </c>
      <c r="Q4" s="107">
        <v>13</v>
      </c>
      <c r="R4" s="107">
        <v>14</v>
      </c>
      <c r="S4" s="107">
        <v>15</v>
      </c>
      <c r="T4" s="107">
        <v>16</v>
      </c>
      <c r="U4" s="107">
        <v>17</v>
      </c>
      <c r="V4" s="107">
        <v>18</v>
      </c>
      <c r="W4" s="107">
        <v>19</v>
      </c>
      <c r="X4" s="107">
        <v>20</v>
      </c>
      <c r="Y4" s="107">
        <v>21</v>
      </c>
      <c r="Z4" s="107">
        <v>22</v>
      </c>
      <c r="AA4" s="107">
        <v>23</v>
      </c>
      <c r="AB4" s="107">
        <v>24</v>
      </c>
      <c r="AC4" s="107">
        <v>25</v>
      </c>
      <c r="AD4" s="107">
        <v>26</v>
      </c>
      <c r="AE4" s="107">
        <v>27</v>
      </c>
      <c r="AF4" s="107">
        <v>28</v>
      </c>
      <c r="AG4" s="107">
        <f>IF(MONTH($C2+AG5) = MONTH($C2),AG$5+1,0)</f>
        <v>29</v>
      </c>
      <c r="AH4" s="107">
        <f>IF(MONTH($C2+AH5) = MONTH($C2),AH$5+1,0)</f>
        <v>30</v>
      </c>
      <c r="AI4" s="108">
        <f>IF(MONTH($C2+AI5) = MONTH($C2),AI$5+1,0)</f>
        <v>0</v>
      </c>
      <c r="AJ4" s="88"/>
      <c r="AK4" s="106"/>
      <c r="AL4" s="91"/>
      <c r="AM4" s="91"/>
      <c r="AN4" s="89"/>
      <c r="AO4" s="89"/>
      <c r="AP4" s="89"/>
      <c r="AQ4" s="89"/>
      <c r="AR4" s="89"/>
    </row>
    <row r="5" spans="2:46" ht="19.5" hidden="1" customHeight="1" outlineLevel="1" x14ac:dyDescent="0.2">
      <c r="C5" s="13"/>
      <c r="D5" s="109"/>
      <c r="E5" s="110"/>
      <c r="F5" s="110">
        <v>1</v>
      </c>
      <c r="G5" s="110">
        <v>2</v>
      </c>
      <c r="H5" s="228">
        <v>3</v>
      </c>
      <c r="I5" s="110">
        <v>4</v>
      </c>
      <c r="J5" s="110">
        <v>5</v>
      </c>
      <c r="K5" s="110">
        <v>6</v>
      </c>
      <c r="L5" s="110">
        <v>7</v>
      </c>
      <c r="M5" s="110">
        <v>8</v>
      </c>
      <c r="N5" s="110">
        <v>9</v>
      </c>
      <c r="O5" s="110">
        <v>10</v>
      </c>
      <c r="P5" s="110">
        <v>11</v>
      </c>
      <c r="Q5" s="110">
        <v>12</v>
      </c>
      <c r="R5" s="110">
        <v>13</v>
      </c>
      <c r="S5" s="110">
        <v>14</v>
      </c>
      <c r="T5" s="110">
        <v>15</v>
      </c>
      <c r="U5" s="110">
        <v>16</v>
      </c>
      <c r="V5" s="110">
        <v>17</v>
      </c>
      <c r="W5" s="110">
        <v>18</v>
      </c>
      <c r="X5" s="110">
        <v>19</v>
      </c>
      <c r="Y5" s="110">
        <v>20</v>
      </c>
      <c r="Z5" s="110">
        <v>21</v>
      </c>
      <c r="AA5" s="110">
        <v>22</v>
      </c>
      <c r="AB5" s="110">
        <v>23</v>
      </c>
      <c r="AC5" s="110">
        <v>24</v>
      </c>
      <c r="AD5" s="110">
        <v>25</v>
      </c>
      <c r="AE5" s="110">
        <v>26</v>
      </c>
      <c r="AF5" s="110">
        <v>27</v>
      </c>
      <c r="AG5" s="110">
        <v>28</v>
      </c>
      <c r="AH5" s="110">
        <v>29</v>
      </c>
      <c r="AI5" s="111">
        <v>30</v>
      </c>
      <c r="AJ5" s="88"/>
      <c r="AK5" s="102"/>
      <c r="AL5" s="91"/>
      <c r="AM5" s="91"/>
      <c r="AN5" s="89"/>
      <c r="AO5" s="89"/>
      <c r="AP5" s="89"/>
      <c r="AQ5" s="89"/>
      <c r="AR5" s="89"/>
    </row>
    <row r="6" spans="2:46" ht="19.5" hidden="1" customHeight="1" outlineLevel="1" x14ac:dyDescent="0.2">
      <c r="C6" s="13"/>
      <c r="D6" s="109"/>
      <c r="E6" s="288">
        <f>WEEKDAY(E$3,2)</f>
        <v>2</v>
      </c>
      <c r="F6" s="288">
        <f t="shared" ref="F6:AF6" si="1">WEEKDAY(F$3,2)</f>
        <v>3</v>
      </c>
      <c r="G6" s="288">
        <f t="shared" si="1"/>
        <v>4</v>
      </c>
      <c r="H6" s="898">
        <f t="shared" si="1"/>
        <v>5</v>
      </c>
      <c r="I6" s="288">
        <f t="shared" si="1"/>
        <v>6</v>
      </c>
      <c r="J6" s="288">
        <f t="shared" si="1"/>
        <v>7</v>
      </c>
      <c r="K6" s="288">
        <f t="shared" si="1"/>
        <v>1</v>
      </c>
      <c r="L6" s="288">
        <f t="shared" si="1"/>
        <v>2</v>
      </c>
      <c r="M6" s="288">
        <f t="shared" si="1"/>
        <v>3</v>
      </c>
      <c r="N6" s="288">
        <f t="shared" si="1"/>
        <v>4</v>
      </c>
      <c r="O6" s="288">
        <f t="shared" si="1"/>
        <v>5</v>
      </c>
      <c r="P6" s="288">
        <f t="shared" si="1"/>
        <v>6</v>
      </c>
      <c r="Q6" s="288">
        <f t="shared" si="1"/>
        <v>7</v>
      </c>
      <c r="R6" s="288">
        <f t="shared" si="1"/>
        <v>1</v>
      </c>
      <c r="S6" s="288">
        <f t="shared" si="1"/>
        <v>2</v>
      </c>
      <c r="T6" s="288">
        <f t="shared" si="1"/>
        <v>3</v>
      </c>
      <c r="U6" s="288">
        <f t="shared" si="1"/>
        <v>4</v>
      </c>
      <c r="V6" s="288">
        <f t="shared" si="1"/>
        <v>5</v>
      </c>
      <c r="W6" s="288">
        <f t="shared" si="1"/>
        <v>6</v>
      </c>
      <c r="X6" s="288">
        <f t="shared" si="1"/>
        <v>7</v>
      </c>
      <c r="Y6" s="288">
        <f t="shared" si="1"/>
        <v>1</v>
      </c>
      <c r="Z6" s="288">
        <f t="shared" si="1"/>
        <v>2</v>
      </c>
      <c r="AA6" s="288">
        <f t="shared" si="1"/>
        <v>3</v>
      </c>
      <c r="AB6" s="288">
        <f t="shared" si="1"/>
        <v>4</v>
      </c>
      <c r="AC6" s="288">
        <f t="shared" si="1"/>
        <v>5</v>
      </c>
      <c r="AD6" s="288">
        <f t="shared" si="1"/>
        <v>6</v>
      </c>
      <c r="AE6" s="288">
        <f t="shared" si="1"/>
        <v>7</v>
      </c>
      <c r="AF6" s="288">
        <f t="shared" si="1"/>
        <v>1</v>
      </c>
      <c r="AG6" s="288">
        <f>IF(AG3&lt;&gt;"",WEEKDAY(AG$3,2),"")</f>
        <v>2</v>
      </c>
      <c r="AH6" s="288"/>
      <c r="AI6" s="899"/>
      <c r="AJ6" s="88"/>
      <c r="AK6" s="102"/>
      <c r="AL6" s="91"/>
      <c r="AM6" s="91"/>
      <c r="AN6" s="89"/>
      <c r="AO6" s="89"/>
      <c r="AP6" s="89"/>
      <c r="AQ6" s="89"/>
      <c r="AR6" s="89"/>
    </row>
    <row r="7" spans="2:46" ht="22.5" customHeight="1" collapsed="1" x14ac:dyDescent="0.2">
      <c r="C7" s="8"/>
      <c r="D7" s="112" t="str">
        <f>Januar!D7</f>
        <v>Beginn</v>
      </c>
      <c r="E7" s="1042">
        <v>0</v>
      </c>
      <c r="F7" s="1042">
        <v>0</v>
      </c>
      <c r="G7" s="1042">
        <v>0</v>
      </c>
      <c r="H7" s="1042">
        <v>0</v>
      </c>
      <c r="I7" s="1042">
        <v>0</v>
      </c>
      <c r="J7" s="1042">
        <v>0</v>
      </c>
      <c r="K7" s="1042">
        <v>0</v>
      </c>
      <c r="L7" s="1042">
        <v>0</v>
      </c>
      <c r="M7" s="1042">
        <v>0</v>
      </c>
      <c r="N7" s="1042">
        <v>0</v>
      </c>
      <c r="O7" s="1042">
        <v>0</v>
      </c>
      <c r="P7" s="1042">
        <v>0</v>
      </c>
      <c r="Q7" s="1042">
        <v>0</v>
      </c>
      <c r="R7" s="1042">
        <v>0</v>
      </c>
      <c r="S7" s="1042">
        <v>0</v>
      </c>
      <c r="T7" s="1042">
        <v>0</v>
      </c>
      <c r="U7" s="1042">
        <v>0</v>
      </c>
      <c r="V7" s="1042">
        <v>0</v>
      </c>
      <c r="W7" s="1042">
        <v>0</v>
      </c>
      <c r="X7" s="1042">
        <v>0</v>
      </c>
      <c r="Y7" s="1042">
        <v>0</v>
      </c>
      <c r="Z7" s="1042">
        <v>0</v>
      </c>
      <c r="AA7" s="1042">
        <v>0</v>
      </c>
      <c r="AB7" s="1042">
        <v>0</v>
      </c>
      <c r="AC7" s="1042">
        <v>0</v>
      </c>
      <c r="AD7" s="1042">
        <v>0</v>
      </c>
      <c r="AE7" s="1042">
        <v>0</v>
      </c>
      <c r="AF7" s="1042">
        <v>0</v>
      </c>
      <c r="AG7" s="1042">
        <v>0</v>
      </c>
      <c r="AH7" s="1042">
        <v>0</v>
      </c>
      <c r="AI7" s="1043"/>
      <c r="AJ7" s="88"/>
      <c r="AK7" s="900"/>
      <c r="AL7" s="91"/>
      <c r="AM7" s="91"/>
      <c r="AN7" s="113"/>
      <c r="AO7" s="89"/>
      <c r="AP7" s="89"/>
      <c r="AQ7" s="89"/>
      <c r="AR7" s="89"/>
    </row>
    <row r="8" spans="2:46" ht="22.5" customHeight="1" x14ac:dyDescent="0.2">
      <c r="C8" s="901"/>
      <c r="D8" s="112" t="str">
        <f>Januar!D8</f>
        <v>Ende</v>
      </c>
      <c r="E8" s="235"/>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4"/>
      <c r="AJ8" s="88"/>
      <c r="AK8" s="900"/>
      <c r="AL8" s="91"/>
      <c r="AM8" s="91"/>
      <c r="AN8" s="89"/>
      <c r="AO8" s="89"/>
      <c r="AP8" s="89"/>
      <c r="AQ8" s="89"/>
      <c r="AR8" s="89"/>
    </row>
    <row r="9" spans="2:46" ht="22.5" customHeight="1" x14ac:dyDescent="0.2">
      <c r="C9" s="8"/>
      <c r="D9" s="112" t="str">
        <f>Januar!D9</f>
        <v>Beginn</v>
      </c>
      <c r="E9" s="1041"/>
      <c r="F9" s="1042"/>
      <c r="G9" s="1042"/>
      <c r="H9" s="1042"/>
      <c r="I9" s="1042"/>
      <c r="J9" s="1042"/>
      <c r="K9" s="1042"/>
      <c r="L9" s="1042"/>
      <c r="M9" s="1042"/>
      <c r="N9" s="1042"/>
      <c r="O9" s="1042"/>
      <c r="P9" s="1042"/>
      <c r="Q9" s="1042"/>
      <c r="R9" s="1042"/>
      <c r="S9" s="1042"/>
      <c r="T9" s="1042"/>
      <c r="U9" s="1042"/>
      <c r="V9" s="1042"/>
      <c r="W9" s="1042"/>
      <c r="X9" s="1042"/>
      <c r="Y9" s="1042"/>
      <c r="Z9" s="1042"/>
      <c r="AA9" s="1042"/>
      <c r="AB9" s="1042"/>
      <c r="AC9" s="1042"/>
      <c r="AD9" s="1042"/>
      <c r="AE9" s="1042"/>
      <c r="AF9" s="1042"/>
      <c r="AG9" s="1042"/>
      <c r="AH9" s="1042"/>
      <c r="AI9" s="1043"/>
      <c r="AJ9" s="88"/>
      <c r="AK9" s="900"/>
      <c r="AL9" s="91"/>
      <c r="AM9" s="91"/>
      <c r="AN9" s="89"/>
      <c r="AO9" s="89"/>
      <c r="AP9" s="89"/>
      <c r="AQ9" s="89"/>
      <c r="AR9" s="89"/>
    </row>
    <row r="10" spans="2:46" ht="22.5" customHeight="1" x14ac:dyDescent="0.2">
      <c r="C10" s="901"/>
      <c r="D10" s="112" t="str">
        <f>Januar!D10</f>
        <v>Ende</v>
      </c>
      <c r="E10" s="235"/>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4"/>
      <c r="AJ10" s="88"/>
      <c r="AK10" s="900"/>
      <c r="AL10" s="900"/>
      <c r="AM10" s="114"/>
      <c r="AN10" s="114"/>
      <c r="AO10" s="114"/>
      <c r="AP10" s="89"/>
      <c r="AQ10" s="89"/>
      <c r="AR10" s="89"/>
    </row>
    <row r="11" spans="2:46" ht="22.5" customHeight="1" x14ac:dyDescent="0.2">
      <c r="C11" s="8"/>
      <c r="D11" s="112" t="str">
        <f>Januar!D11</f>
        <v>Beginn</v>
      </c>
      <c r="E11" s="1041"/>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3"/>
      <c r="AJ11" s="88"/>
      <c r="AK11" s="115"/>
      <c r="AL11" s="89"/>
      <c r="AM11" s="89"/>
      <c r="AN11" s="89"/>
      <c r="AO11" s="89"/>
      <c r="AP11" s="89"/>
      <c r="AQ11" s="89"/>
      <c r="AR11" s="89"/>
    </row>
    <row r="12" spans="2:46" ht="22.5" customHeight="1" x14ac:dyDescent="0.2">
      <c r="C12" s="116"/>
      <c r="D12" s="112" t="str">
        <f>Januar!D12</f>
        <v>Ende</v>
      </c>
      <c r="E12" s="235"/>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4"/>
      <c r="AJ12" s="88"/>
      <c r="AK12" s="902"/>
      <c r="AL12" s="91" t="s">
        <v>411</v>
      </c>
      <c r="AM12" s="91"/>
      <c r="AN12" s="113"/>
      <c r="AO12" s="89"/>
      <c r="AP12" s="89"/>
      <c r="AQ12" s="89"/>
      <c r="AR12" s="89"/>
    </row>
    <row r="13" spans="2:46" s="123" customFormat="1" x14ac:dyDescent="0.2">
      <c r="B13" s="117"/>
      <c r="C13" s="118" t="str">
        <f>Januar!C13</f>
        <v>Effektive Arbeitszeit</v>
      </c>
      <c r="D13" s="119"/>
      <c r="E13" s="1044">
        <f>IF(COUNT(E7:E12)&gt;0,E12-E11+E10-E9+E8-E7,E39)</f>
        <v>0</v>
      </c>
      <c r="F13" s="1045">
        <f t="shared" ref="F13:AI13" si="2">IF(COUNT(F7:F12)&gt;0,F12-F11+F10-F9+F8-F7,F39)</f>
        <v>0</v>
      </c>
      <c r="G13" s="1045">
        <f t="shared" si="2"/>
        <v>0</v>
      </c>
      <c r="H13" s="1045">
        <f t="shared" si="2"/>
        <v>0</v>
      </c>
      <c r="I13" s="1045">
        <f t="shared" si="2"/>
        <v>0</v>
      </c>
      <c r="J13" s="1045">
        <f t="shared" si="2"/>
        <v>0</v>
      </c>
      <c r="K13" s="1045">
        <f t="shared" si="2"/>
        <v>0</v>
      </c>
      <c r="L13" s="1045">
        <f t="shared" si="2"/>
        <v>0</v>
      </c>
      <c r="M13" s="1045">
        <f t="shared" si="2"/>
        <v>0</v>
      </c>
      <c r="N13" s="1045">
        <f t="shared" si="2"/>
        <v>0</v>
      </c>
      <c r="O13" s="1045">
        <f t="shared" si="2"/>
        <v>0</v>
      </c>
      <c r="P13" s="1045">
        <f t="shared" si="2"/>
        <v>0</v>
      </c>
      <c r="Q13" s="1045">
        <f t="shared" si="2"/>
        <v>0</v>
      </c>
      <c r="R13" s="1045">
        <f t="shared" si="2"/>
        <v>0</v>
      </c>
      <c r="S13" s="1045">
        <f t="shared" si="2"/>
        <v>0</v>
      </c>
      <c r="T13" s="1045">
        <f t="shared" si="2"/>
        <v>0</v>
      </c>
      <c r="U13" s="1045">
        <f t="shared" si="2"/>
        <v>0</v>
      </c>
      <c r="V13" s="1045">
        <f t="shared" si="2"/>
        <v>0</v>
      </c>
      <c r="W13" s="1045">
        <f t="shared" si="2"/>
        <v>0</v>
      </c>
      <c r="X13" s="1045">
        <f t="shared" si="2"/>
        <v>0</v>
      </c>
      <c r="Y13" s="1045">
        <f t="shared" si="2"/>
        <v>0</v>
      </c>
      <c r="Z13" s="1045">
        <f t="shared" si="2"/>
        <v>0</v>
      </c>
      <c r="AA13" s="1045">
        <f t="shared" si="2"/>
        <v>0</v>
      </c>
      <c r="AB13" s="1045">
        <f t="shared" si="2"/>
        <v>0</v>
      </c>
      <c r="AC13" s="1045">
        <f t="shared" si="2"/>
        <v>0</v>
      </c>
      <c r="AD13" s="1045">
        <f t="shared" si="2"/>
        <v>0</v>
      </c>
      <c r="AE13" s="1045">
        <f t="shared" si="2"/>
        <v>0</v>
      </c>
      <c r="AF13" s="1045">
        <f t="shared" si="2"/>
        <v>0</v>
      </c>
      <c r="AG13" s="1045">
        <f t="shared" si="2"/>
        <v>0</v>
      </c>
      <c r="AH13" s="1045">
        <f t="shared" si="2"/>
        <v>0</v>
      </c>
      <c r="AI13" s="1046">
        <f t="shared" si="2"/>
        <v>0</v>
      </c>
      <c r="AJ13" s="1047">
        <f t="shared" ref="AJ13:AJ18" si="3">SUM(E13:AI13)</f>
        <v>0</v>
      </c>
      <c r="AK13" s="120"/>
      <c r="AL13" s="121" t="s">
        <v>413</v>
      </c>
      <c r="AM13" s="121"/>
      <c r="AN13" s="122"/>
      <c r="AS13" s="124"/>
    </row>
    <row r="14" spans="2:46" s="129" customFormat="1" x14ac:dyDescent="0.2">
      <c r="B14" s="117"/>
      <c r="C14" s="118" t="str">
        <f>Januar!C14</f>
        <v>inkl. Basiszeit / Feiertage</v>
      </c>
      <c r="D14" s="125"/>
      <c r="E14" s="126">
        <f>ROUND(SUM(E13,E15,E21,E22,E24:E38),8)</f>
        <v>0</v>
      </c>
      <c r="F14" s="127">
        <f>ROUND(SUM(F13,F15,F21,F22,F24:F38),8)</f>
        <v>0</v>
      </c>
      <c r="G14" s="127">
        <f t="shared" ref="G14:AI14" si="4">ROUND(SUM(G13,G15,G21,G22,G24:G38),8)</f>
        <v>0</v>
      </c>
      <c r="H14" s="127">
        <f t="shared" si="4"/>
        <v>0</v>
      </c>
      <c r="I14" s="127">
        <f t="shared" si="4"/>
        <v>0</v>
      </c>
      <c r="J14" s="127">
        <f t="shared" si="4"/>
        <v>0</v>
      </c>
      <c r="K14" s="127">
        <f t="shared" si="4"/>
        <v>0</v>
      </c>
      <c r="L14" s="127">
        <f t="shared" si="4"/>
        <v>0</v>
      </c>
      <c r="M14" s="127">
        <f t="shared" si="4"/>
        <v>0</v>
      </c>
      <c r="N14" s="127">
        <f t="shared" si="4"/>
        <v>0</v>
      </c>
      <c r="O14" s="127">
        <f t="shared" si="4"/>
        <v>0</v>
      </c>
      <c r="P14" s="127">
        <f t="shared" si="4"/>
        <v>0</v>
      </c>
      <c r="Q14" s="127">
        <f t="shared" si="4"/>
        <v>0</v>
      </c>
      <c r="R14" s="127">
        <f t="shared" si="4"/>
        <v>0</v>
      </c>
      <c r="S14" s="127">
        <f t="shared" si="4"/>
        <v>0</v>
      </c>
      <c r="T14" s="127">
        <f t="shared" si="4"/>
        <v>0</v>
      </c>
      <c r="U14" s="127">
        <f t="shared" si="4"/>
        <v>0</v>
      </c>
      <c r="V14" s="127">
        <f t="shared" si="4"/>
        <v>0</v>
      </c>
      <c r="W14" s="127">
        <f t="shared" si="4"/>
        <v>0</v>
      </c>
      <c r="X14" s="127">
        <f t="shared" si="4"/>
        <v>0</v>
      </c>
      <c r="Y14" s="127">
        <f t="shared" si="4"/>
        <v>0</v>
      </c>
      <c r="Z14" s="127">
        <f t="shared" si="4"/>
        <v>0</v>
      </c>
      <c r="AA14" s="127">
        <f t="shared" si="4"/>
        <v>0</v>
      </c>
      <c r="AB14" s="127">
        <f t="shared" si="4"/>
        <v>0</v>
      </c>
      <c r="AC14" s="127">
        <f t="shared" si="4"/>
        <v>0</v>
      </c>
      <c r="AD14" s="127">
        <f t="shared" si="4"/>
        <v>0</v>
      </c>
      <c r="AE14" s="127">
        <f t="shared" si="4"/>
        <v>0</v>
      </c>
      <c r="AF14" s="127">
        <f t="shared" si="4"/>
        <v>0</v>
      </c>
      <c r="AG14" s="127">
        <f t="shared" si="4"/>
        <v>0</v>
      </c>
      <c r="AH14" s="127">
        <f t="shared" si="4"/>
        <v>0</v>
      </c>
      <c r="AI14" s="127">
        <f t="shared" si="4"/>
        <v>0</v>
      </c>
      <c r="AJ14" s="128">
        <f t="shared" si="3"/>
        <v>0</v>
      </c>
      <c r="AK14" s="1048">
        <f>AJ14-AJ16-IF(Eingabeblatt!D7="NEIN",AJ85,AJ85/1.25)</f>
        <v>-7.6999999999999966</v>
      </c>
      <c r="AL14" s="117" t="s">
        <v>415</v>
      </c>
      <c r="AM14" s="121"/>
      <c r="AN14" s="122"/>
      <c r="AT14" s="123"/>
    </row>
    <row r="15" spans="2:46" s="129" customFormat="1" x14ac:dyDescent="0.2">
      <c r="B15" s="117">
        <f>ctFeierFreitage!K28</f>
        <v>3.3166666666666669</v>
      </c>
      <c r="C15" s="118" t="str">
        <f>Januar!C15</f>
        <v>Feiertagsanspruch</v>
      </c>
      <c r="D15" s="125"/>
      <c r="E15" s="126">
        <f t="shared" ref="E15:AI15" si="5">IF(ISERROR(VLOOKUP(DATE($D$2,MONTH($C$2),E$4),Feiertagsanspruch,9,FALSE)),0,VLOOKUP(DATE($D$2,MONTH($C$2),E$4),Feiertagsanspruch,9,FALSE))</f>
        <v>0</v>
      </c>
      <c r="F15" s="127">
        <f t="shared" si="5"/>
        <v>0</v>
      </c>
      <c r="G15" s="127">
        <f t="shared" si="5"/>
        <v>0</v>
      </c>
      <c r="H15" s="127">
        <f t="shared" si="5"/>
        <v>0</v>
      </c>
      <c r="I15" s="127">
        <f t="shared" si="5"/>
        <v>0</v>
      </c>
      <c r="J15" s="127">
        <f t="shared" si="5"/>
        <v>0</v>
      </c>
      <c r="K15" s="127">
        <f t="shared" si="5"/>
        <v>0</v>
      </c>
      <c r="L15" s="127">
        <f t="shared" si="5"/>
        <v>0</v>
      </c>
      <c r="M15" s="127">
        <f t="shared" si="5"/>
        <v>0</v>
      </c>
      <c r="N15" s="127">
        <f t="shared" si="5"/>
        <v>0</v>
      </c>
      <c r="O15" s="127">
        <f t="shared" si="5"/>
        <v>0</v>
      </c>
      <c r="P15" s="127">
        <f t="shared" si="5"/>
        <v>0</v>
      </c>
      <c r="Q15" s="127">
        <f t="shared" si="5"/>
        <v>0</v>
      </c>
      <c r="R15" s="127">
        <f t="shared" si="5"/>
        <v>0</v>
      </c>
      <c r="S15" s="127">
        <f t="shared" si="5"/>
        <v>0</v>
      </c>
      <c r="T15" s="127">
        <f t="shared" si="5"/>
        <v>0</v>
      </c>
      <c r="U15" s="127">
        <f t="shared" si="5"/>
        <v>0</v>
      </c>
      <c r="V15" s="127">
        <f t="shared" si="5"/>
        <v>0</v>
      </c>
      <c r="W15" s="127">
        <f t="shared" si="5"/>
        <v>0</v>
      </c>
      <c r="X15" s="127">
        <f t="shared" si="5"/>
        <v>0</v>
      </c>
      <c r="Y15" s="127">
        <f t="shared" si="5"/>
        <v>0</v>
      </c>
      <c r="Z15" s="127">
        <f t="shared" si="5"/>
        <v>0</v>
      </c>
      <c r="AA15" s="127">
        <f t="shared" si="5"/>
        <v>0</v>
      </c>
      <c r="AB15" s="127">
        <f t="shared" si="5"/>
        <v>0</v>
      </c>
      <c r="AC15" s="127">
        <f t="shared" si="5"/>
        <v>0</v>
      </c>
      <c r="AD15" s="127">
        <f t="shared" si="5"/>
        <v>0</v>
      </c>
      <c r="AE15" s="127">
        <f t="shared" si="5"/>
        <v>0</v>
      </c>
      <c r="AF15" s="127">
        <f t="shared" si="5"/>
        <v>0</v>
      </c>
      <c r="AG15" s="127">
        <f t="shared" si="5"/>
        <v>0</v>
      </c>
      <c r="AH15" s="127">
        <f t="shared" si="5"/>
        <v>0</v>
      </c>
      <c r="AI15" s="127">
        <f t="shared" si="5"/>
        <v>0</v>
      </c>
      <c r="AJ15" s="128">
        <f t="shared" si="3"/>
        <v>0</v>
      </c>
      <c r="AK15" s="1048"/>
      <c r="AL15" s="117"/>
      <c r="AM15" s="121"/>
      <c r="AN15" s="122"/>
      <c r="AT15" s="123"/>
    </row>
    <row r="16" spans="2:46" s="123" customFormat="1" hidden="1" outlineLevel="1" x14ac:dyDescent="0.2">
      <c r="B16" s="117"/>
      <c r="C16" s="118" t="str">
        <f>Januar!C16</f>
        <v>SOLL-Arbeitszeit</v>
      </c>
      <c r="D16" s="119"/>
      <c r="E16" s="126">
        <f>IF(ROUND(E17-E15,8)&lt;0,0,ROUND(E17-E15,8))</f>
        <v>0.35</v>
      </c>
      <c r="F16" s="127">
        <f>IF(ROUND(F17-F15,8)&lt;0,0,ROUND(F17-F15,8))</f>
        <v>0.35</v>
      </c>
      <c r="G16" s="127">
        <f t="shared" ref="G16:AH16" si="6">IF(ROUND(G17-G15,8)&lt;0,0,ROUND(G17-G15,8))</f>
        <v>0.35</v>
      </c>
      <c r="H16" s="127">
        <f t="shared" si="6"/>
        <v>0.35</v>
      </c>
      <c r="I16" s="127">
        <f t="shared" si="6"/>
        <v>0</v>
      </c>
      <c r="J16" s="127">
        <f t="shared" si="6"/>
        <v>0</v>
      </c>
      <c r="K16" s="127">
        <f t="shared" si="6"/>
        <v>0.35</v>
      </c>
      <c r="L16" s="127">
        <f t="shared" si="6"/>
        <v>0.35</v>
      </c>
      <c r="M16" s="127">
        <f t="shared" si="6"/>
        <v>0.35</v>
      </c>
      <c r="N16" s="127">
        <f t="shared" si="6"/>
        <v>0.35</v>
      </c>
      <c r="O16" s="127">
        <f t="shared" si="6"/>
        <v>0.35</v>
      </c>
      <c r="P16" s="127">
        <f t="shared" si="6"/>
        <v>0</v>
      </c>
      <c r="Q16" s="127">
        <f t="shared" si="6"/>
        <v>0</v>
      </c>
      <c r="R16" s="127">
        <f t="shared" si="6"/>
        <v>0.35</v>
      </c>
      <c r="S16" s="127">
        <f t="shared" si="6"/>
        <v>0.35</v>
      </c>
      <c r="T16" s="127">
        <f t="shared" si="6"/>
        <v>0.35</v>
      </c>
      <c r="U16" s="127">
        <f t="shared" si="6"/>
        <v>0.35</v>
      </c>
      <c r="V16" s="127">
        <f t="shared" si="6"/>
        <v>0.35</v>
      </c>
      <c r="W16" s="127">
        <f t="shared" si="6"/>
        <v>0</v>
      </c>
      <c r="X16" s="127">
        <f t="shared" si="6"/>
        <v>0</v>
      </c>
      <c r="Y16" s="127">
        <f t="shared" si="6"/>
        <v>0.35</v>
      </c>
      <c r="Z16" s="127">
        <f t="shared" si="6"/>
        <v>0.35</v>
      </c>
      <c r="AA16" s="127">
        <f t="shared" si="6"/>
        <v>0.35</v>
      </c>
      <c r="AB16" s="127">
        <f t="shared" si="6"/>
        <v>0.35</v>
      </c>
      <c r="AC16" s="127">
        <f t="shared" si="6"/>
        <v>0.35</v>
      </c>
      <c r="AD16" s="127">
        <f t="shared" si="6"/>
        <v>0</v>
      </c>
      <c r="AE16" s="127">
        <f t="shared" si="6"/>
        <v>0</v>
      </c>
      <c r="AF16" s="127">
        <f t="shared" si="6"/>
        <v>0.35</v>
      </c>
      <c r="AG16" s="127">
        <f t="shared" si="6"/>
        <v>0.35</v>
      </c>
      <c r="AH16" s="127">
        <f t="shared" si="6"/>
        <v>0.35</v>
      </c>
      <c r="AI16" s="127">
        <f>IF(ROUND(AI17-AI15,8)&lt;0,0,ROUND(AI17-AI15,8))</f>
        <v>0</v>
      </c>
      <c r="AJ16" s="128">
        <f t="shared" si="3"/>
        <v>7.6999999999999966</v>
      </c>
      <c r="AK16" s="130"/>
      <c r="AL16" s="121" t="s">
        <v>416</v>
      </c>
      <c r="AM16" s="121"/>
      <c r="AN16" s="122"/>
      <c r="AT16" s="129"/>
    </row>
    <row r="17" spans="1:46" s="123" customFormat="1" collapsed="1" x14ac:dyDescent="0.2">
      <c r="B17" s="117"/>
      <c r="C17" s="118" t="str">
        <f>Januar!C17</f>
        <v>Regelarbeitszeit</v>
      </c>
      <c r="D17" s="119"/>
      <c r="E17" s="126">
        <f>IF(ISERROR(IF(E4&lt;&gt;0,VLOOKUP(DATE($D$2,MONTH($C$2),E$4),Raz,WEEKDAY(DATE($D$2,MONTH($C$2),E$4))+2),0)),0,IF(E4&lt;&gt;0,VLOOKUP(DATE($D$2,MONTH($C$2),E$4),Raz,WEEKDAY(DATE($D$2,MONTH($C$2),E$4))+2),0))</f>
        <v>0.35000000000000003</v>
      </c>
      <c r="F17" s="127">
        <f t="shared" ref="F17:AI17" si="7">IF(ISERROR(IF(F4&lt;&gt;0,VLOOKUP(DATE($D$2,MONTH($C$2),F$4),Raz,WEEKDAY(DATE($D$2,MONTH($C$2),F$4))+2),0)),0,IF(F4&lt;&gt;0,VLOOKUP(DATE($D$2,MONTH($C$2),F$4),Raz,WEEKDAY(DATE($D$2,MONTH($C$2),F$4))+2),0))</f>
        <v>0.35000000000000003</v>
      </c>
      <c r="G17" s="127">
        <f t="shared" si="7"/>
        <v>0.35</v>
      </c>
      <c r="H17" s="127">
        <f t="shared" si="7"/>
        <v>0.35000000000000003</v>
      </c>
      <c r="I17" s="127">
        <f t="shared" si="7"/>
        <v>0</v>
      </c>
      <c r="J17" s="127">
        <f t="shared" si="7"/>
        <v>0</v>
      </c>
      <c r="K17" s="127">
        <f t="shared" si="7"/>
        <v>0.35000000000000003</v>
      </c>
      <c r="L17" s="127">
        <f t="shared" si="7"/>
        <v>0.35000000000000003</v>
      </c>
      <c r="M17" s="127">
        <f t="shared" si="7"/>
        <v>0.35000000000000003</v>
      </c>
      <c r="N17" s="127">
        <f t="shared" si="7"/>
        <v>0.35</v>
      </c>
      <c r="O17" s="127">
        <f t="shared" si="7"/>
        <v>0.35000000000000003</v>
      </c>
      <c r="P17" s="127">
        <f t="shared" si="7"/>
        <v>0</v>
      </c>
      <c r="Q17" s="127">
        <f t="shared" si="7"/>
        <v>0</v>
      </c>
      <c r="R17" s="127">
        <f t="shared" si="7"/>
        <v>0.35000000000000003</v>
      </c>
      <c r="S17" s="127">
        <f t="shared" si="7"/>
        <v>0.35000000000000003</v>
      </c>
      <c r="T17" s="127">
        <f t="shared" si="7"/>
        <v>0.35000000000000003</v>
      </c>
      <c r="U17" s="127">
        <f t="shared" si="7"/>
        <v>0.35</v>
      </c>
      <c r="V17" s="127">
        <f t="shared" si="7"/>
        <v>0.35000000000000003</v>
      </c>
      <c r="W17" s="127">
        <f t="shared" si="7"/>
        <v>0</v>
      </c>
      <c r="X17" s="127">
        <f t="shared" si="7"/>
        <v>0</v>
      </c>
      <c r="Y17" s="127">
        <f t="shared" si="7"/>
        <v>0.35000000000000003</v>
      </c>
      <c r="Z17" s="127">
        <f t="shared" si="7"/>
        <v>0.35000000000000003</v>
      </c>
      <c r="AA17" s="127">
        <f t="shared" si="7"/>
        <v>0.35000000000000003</v>
      </c>
      <c r="AB17" s="127">
        <f t="shared" si="7"/>
        <v>0.35</v>
      </c>
      <c r="AC17" s="127">
        <f t="shared" si="7"/>
        <v>0.35000000000000003</v>
      </c>
      <c r="AD17" s="127">
        <f t="shared" si="7"/>
        <v>0</v>
      </c>
      <c r="AE17" s="127">
        <f t="shared" si="7"/>
        <v>0</v>
      </c>
      <c r="AF17" s="127">
        <f t="shared" si="7"/>
        <v>0.35000000000000003</v>
      </c>
      <c r="AG17" s="127">
        <f t="shared" si="7"/>
        <v>0.35000000000000003</v>
      </c>
      <c r="AH17" s="127">
        <f t="shared" si="7"/>
        <v>0.35000000000000003</v>
      </c>
      <c r="AI17" s="127">
        <f t="shared" si="7"/>
        <v>0</v>
      </c>
      <c r="AJ17" s="128">
        <f t="shared" si="3"/>
        <v>7.6999999999999966</v>
      </c>
      <c r="AK17" s="131"/>
      <c r="AL17" s="121"/>
      <c r="AM17" s="121"/>
      <c r="AN17" s="122"/>
    </row>
    <row r="18" spans="1:46" s="123" customFormat="1" x14ac:dyDescent="0.2">
      <c r="B18" s="117"/>
      <c r="C18" s="132" t="str">
        <f>Januar!C18</f>
        <v>Mehr-/Minderleistung</v>
      </c>
      <c r="D18" s="133"/>
      <c r="E18" s="134">
        <f>ROUND(E14-E17,8)</f>
        <v>-0.35</v>
      </c>
      <c r="F18" s="135">
        <f>ROUND(F14-F17,8)</f>
        <v>-0.35</v>
      </c>
      <c r="G18" s="135">
        <f t="shared" ref="G18:AI18" si="8">ROUND(G14-G17,8)</f>
        <v>-0.35</v>
      </c>
      <c r="H18" s="135">
        <f t="shared" si="8"/>
        <v>-0.35</v>
      </c>
      <c r="I18" s="135">
        <f t="shared" si="8"/>
        <v>0</v>
      </c>
      <c r="J18" s="135">
        <f t="shared" si="8"/>
        <v>0</v>
      </c>
      <c r="K18" s="135">
        <f t="shared" si="8"/>
        <v>-0.35</v>
      </c>
      <c r="L18" s="135">
        <f t="shared" si="8"/>
        <v>-0.35</v>
      </c>
      <c r="M18" s="135">
        <f t="shared" si="8"/>
        <v>-0.35</v>
      </c>
      <c r="N18" s="135">
        <f t="shared" si="8"/>
        <v>-0.35</v>
      </c>
      <c r="O18" s="135">
        <f t="shared" si="8"/>
        <v>-0.35</v>
      </c>
      <c r="P18" s="135">
        <f t="shared" si="8"/>
        <v>0</v>
      </c>
      <c r="Q18" s="135">
        <f t="shared" si="8"/>
        <v>0</v>
      </c>
      <c r="R18" s="135">
        <f t="shared" si="8"/>
        <v>-0.35</v>
      </c>
      <c r="S18" s="135">
        <f t="shared" si="8"/>
        <v>-0.35</v>
      </c>
      <c r="T18" s="135">
        <f t="shared" si="8"/>
        <v>-0.35</v>
      </c>
      <c r="U18" s="135">
        <f t="shared" si="8"/>
        <v>-0.35</v>
      </c>
      <c r="V18" s="135">
        <f t="shared" si="8"/>
        <v>-0.35</v>
      </c>
      <c r="W18" s="135">
        <f t="shared" si="8"/>
        <v>0</v>
      </c>
      <c r="X18" s="135">
        <f t="shared" si="8"/>
        <v>0</v>
      </c>
      <c r="Y18" s="135">
        <f t="shared" si="8"/>
        <v>-0.35</v>
      </c>
      <c r="Z18" s="135">
        <f t="shared" si="8"/>
        <v>-0.35</v>
      </c>
      <c r="AA18" s="135">
        <f t="shared" si="8"/>
        <v>-0.35</v>
      </c>
      <c r="AB18" s="135">
        <f t="shared" si="8"/>
        <v>-0.35</v>
      </c>
      <c r="AC18" s="135">
        <f t="shared" si="8"/>
        <v>-0.35</v>
      </c>
      <c r="AD18" s="135">
        <f t="shared" si="8"/>
        <v>0</v>
      </c>
      <c r="AE18" s="135">
        <f t="shared" si="8"/>
        <v>0</v>
      </c>
      <c r="AF18" s="135">
        <f t="shared" si="8"/>
        <v>-0.35</v>
      </c>
      <c r="AG18" s="135">
        <f t="shared" si="8"/>
        <v>-0.35</v>
      </c>
      <c r="AH18" s="135">
        <f t="shared" si="8"/>
        <v>-0.35</v>
      </c>
      <c r="AI18" s="135">
        <f t="shared" si="8"/>
        <v>0</v>
      </c>
      <c r="AJ18" s="136">
        <f t="shared" si="3"/>
        <v>-7.6999999999999966</v>
      </c>
      <c r="AK18" s="137" t="s">
        <v>418</v>
      </c>
      <c r="AL18" s="121" t="s">
        <v>419</v>
      </c>
      <c r="AM18" s="121"/>
      <c r="AN18" s="122"/>
      <c r="AO18" s="122"/>
    </row>
    <row r="19" spans="1:46" s="138" customFormat="1" ht="24" x14ac:dyDescent="0.2">
      <c r="A19" s="781"/>
      <c r="B19" s="139" t="s">
        <v>420</v>
      </c>
      <c r="C19" s="1049" t="str">
        <f>Januar!C19</f>
        <v>Arbeitszeit-Saldo</v>
      </c>
      <c r="D19" s="903">
        <f ca="1">August!AJ19</f>
        <v>0</v>
      </c>
      <c r="E19" s="1050">
        <f ca="1">IF(E4&lt;&gt;"",IF(DATE($D$2,MONTH($C$2),E$4)&lt;=Eingabeblatt!$I$8,IF(OR(AND(E$86="JA",E14&gt;E16),AND(E86="JA",Eingabeblatt!$I$10="NEIN")),D19,D19+E18),IF(D19=0,0,IF(OR(COUNT(E7:E12,E22:E38)&gt;0,AND(COUNT(E7:E12,E22:E38)=0,E16=0)),IF(OR(AND(E$86="JA",E14&gt;E16),AND(E86="JA",Eingabeblatt!$I$10="NEIN")),D19,D19+E18),0))),D19)</f>
        <v>0</v>
      </c>
      <c r="F19" s="1051">
        <f ca="1">IF(F4&lt;&gt;"",IF(DATE($D$2,MONTH($C$2),F$4)&lt;=Eingabeblatt!$I$8,IF(OR(AND(F$86="JA",F14&gt;F16),AND(F86="JA",Eingabeblatt!$I$10="NEIN")),E19,E19+F18),IF(E19=0,0,IF(OR(COUNT(F7:F12,F22:F38)&gt;0,AND(COUNT(F7:F12,F22:F38)=0,F16=0)),IF(OR(AND(F$86="JA",F14&gt;F16),AND(F86="JA",Eingabeblatt!$I$10="NEIN")),E19,E19+F18),0))),E19)</f>
        <v>0</v>
      </c>
      <c r="G19" s="1051">
        <f ca="1">IF(G4&lt;&gt;"",IF(DATE($D$2,MONTH($C$2),G$4)&lt;=Eingabeblatt!$I$8,IF(OR(AND(G$86="JA",G14&gt;G16),AND(G86="JA",Eingabeblatt!$I$10="NEIN")),F19,F19+G18),IF(F19=0,0,IF(OR(COUNT(G7:G12,G22:G38)&gt;0,AND(COUNT(G7:G12,G22:G38)=0,G16=0)),IF(OR(AND(G$86="JA",G14&gt;G16),AND(G86="JA",Eingabeblatt!$I$10="NEIN")),F19,F19+G18),0))),F19)</f>
        <v>0</v>
      </c>
      <c r="H19" s="1051">
        <f ca="1">IF(H4&lt;&gt;"",IF(DATE($D$2,MONTH($C$2),H$4)&lt;=Eingabeblatt!$I$8,IF(OR(AND(H$86="JA",H14&gt;H16),AND(H86="JA",Eingabeblatt!$I$10="NEIN")),G19,G19+H18),IF(G19=0,0,IF(OR(COUNT(H7:H12,H22:H38)&gt;0,AND(COUNT(H7:H12,H22:H38)=0,H16=0)),IF(OR(AND(H$86="JA",H14&gt;H16),AND(H86="JA",Eingabeblatt!$I$10="NEIN")),G19,G19+H18),0))),G19)</f>
        <v>0</v>
      </c>
      <c r="I19" s="1051">
        <f ca="1">IF(I4&lt;&gt;"",IF(DATE($D$2,MONTH($C$2),I$4)&lt;=Eingabeblatt!$I$8,IF(OR(AND(I$86="JA",I14&gt;I16),AND(I86="JA",Eingabeblatt!$I$10="NEIN")),H19,H19+I18),IF(H19=0,0,IF(OR(COUNT(I7:I12,I22:I38)&gt;0,AND(COUNT(I7:I12,I22:I38)=0,I16=0)),IF(OR(AND(I$86="JA",I14&gt;I16),AND(I86="JA",Eingabeblatt!$I$10="NEIN")),H19,H19+I18),0))),H19)</f>
        <v>0</v>
      </c>
      <c r="J19" s="1051">
        <f ca="1">IF(J4&lt;&gt;"",IF(DATE($D$2,MONTH($C$2),J$4)&lt;=Eingabeblatt!$I$8,IF(OR(AND(J$86="JA",J14&gt;J16),AND(J86="JA",Eingabeblatt!$I$10="NEIN")),I19,I19+J18),IF(I19=0,0,IF(OR(COUNT(J7:J12,J22:J38)&gt;0,AND(COUNT(J7:J12,J22:J38)=0,J16=0)),IF(OR(AND(J$86="JA",J14&gt;J16),AND(J86="JA",Eingabeblatt!$I$10="NEIN")),I19,I19+J18),0))),I19)</f>
        <v>0</v>
      </c>
      <c r="K19" s="1051">
        <f ca="1">IF(K4&lt;&gt;"",IF(DATE($D$2,MONTH($C$2),K$4)&lt;=Eingabeblatt!$I$8,IF(OR(AND(K$86="JA",K14&gt;K16),AND(K86="JA",Eingabeblatt!$I$10="NEIN")),J19,J19+K18),IF(J19=0,0,IF(OR(COUNT(K7:K12,K22:K38)&gt;0,AND(COUNT(K7:K12,K22:K38)=0,K16=0)),IF(OR(AND(K$86="JA",K14&gt;K16),AND(K86="JA",Eingabeblatt!$I$10="NEIN")),J19,J19+K18),0))),J19)</f>
        <v>0</v>
      </c>
      <c r="L19" s="1051">
        <f ca="1">IF(L4&lt;&gt;"",IF(DATE($D$2,MONTH($C$2),L$4)&lt;=Eingabeblatt!$I$8,IF(OR(AND(L$86="JA",L14&gt;L16),AND(L86="JA",Eingabeblatt!$I$10="NEIN")),K19,K19+L18),IF(K19=0,0,IF(OR(COUNT(L7:L12,L22:L38)&gt;0,AND(COUNT(L7:L12,L22:L38)=0,L16=0)),IF(OR(AND(L$86="JA",L14&gt;L16),AND(L86="JA",Eingabeblatt!$I$10="NEIN")),K19,K19+L18),0))),K19)</f>
        <v>0</v>
      </c>
      <c r="M19" s="1051">
        <f ca="1">IF(M4&lt;&gt;"",IF(DATE($D$2,MONTH($C$2),M$4)&lt;=Eingabeblatt!$I$8,IF(OR(AND(M$86="JA",M14&gt;M16),AND(M86="JA",Eingabeblatt!$I$10="NEIN")),L19,L19+M18),IF(L19=0,0,IF(OR(COUNT(M7:M12,M22:M38)&gt;0,AND(COUNT(M7:M12,M22:M38)=0,M16=0)),IF(OR(AND(M$86="JA",M14&gt;M16),AND(M86="JA",Eingabeblatt!$I$10="NEIN")),L19,L19+M18),0))),L19)</f>
        <v>0</v>
      </c>
      <c r="N19" s="1051">
        <f ca="1">IF(N4&lt;&gt;"",IF(DATE($D$2,MONTH($C$2),N$4)&lt;=Eingabeblatt!$I$8,IF(OR(AND(N$86="JA",N14&gt;N16),AND(N86="JA",Eingabeblatt!$I$10="NEIN")),M19,M19+N18),IF(M19=0,0,IF(OR(COUNT(N7:N12,N22:N38)&gt;0,AND(COUNT(N7:N12,N22:N38)=0,N16=0)),IF(OR(AND(N$86="JA",N14&gt;N16),AND(N86="JA",Eingabeblatt!$I$10="NEIN")),M19,M19+N18),0))),M19)</f>
        <v>0</v>
      </c>
      <c r="O19" s="1051">
        <f ca="1">IF(O4&lt;&gt;"",IF(DATE($D$2,MONTH($C$2),O$4)&lt;=Eingabeblatt!$I$8,IF(OR(AND(O$86="JA",O14&gt;O16),AND(O86="JA",Eingabeblatt!$I$10="NEIN")),N19,N19+O18),IF(N19=0,0,IF(OR(COUNT(O7:O12,O22:O38)&gt;0,AND(COUNT(O7:O12,O22:O38)=0,O16=0)),IF(OR(AND(O$86="JA",O14&gt;O16),AND(O86="JA",Eingabeblatt!$I$10="NEIN")),N19,N19+O18),0))),N19)</f>
        <v>0</v>
      </c>
      <c r="P19" s="1051">
        <f ca="1">IF(P4&lt;&gt;"",IF(DATE($D$2,MONTH($C$2),P$4)&lt;=Eingabeblatt!$I$8,IF(OR(AND(P$86="JA",P14&gt;P16),AND(P86="JA",Eingabeblatt!$I$10="NEIN")),O19,O19+P18),IF(O19=0,0,IF(OR(COUNT(P7:P12,P22:P38)&gt;0,AND(COUNT(P7:P12,P22:P38)=0,P16=0)),IF(OR(AND(P$86="JA",P14&gt;P16),AND(P86="JA",Eingabeblatt!$I$10="NEIN")),O19,O19+P18),0))),O19)</f>
        <v>0</v>
      </c>
      <c r="Q19" s="1051">
        <f ca="1">IF(Q4&lt;&gt;"",IF(DATE($D$2,MONTH($C$2),Q$4)&lt;=Eingabeblatt!$I$8,IF(OR(AND(Q$86="JA",Q14&gt;Q16),AND(Q86="JA",Eingabeblatt!$I$10="NEIN")),P19,P19+Q18),IF(P19=0,0,IF(OR(COUNT(Q7:Q12,Q22:Q38)&gt;0,AND(COUNT(Q7:Q12,Q22:Q38)=0,Q16=0)),IF(OR(AND(Q$86="JA",Q14&gt;Q16),AND(Q86="JA",Eingabeblatt!$I$10="NEIN")),P19,P19+Q18),0))),P19)</f>
        <v>0</v>
      </c>
      <c r="R19" s="1051">
        <f ca="1">IF(R4&lt;&gt;"",IF(DATE($D$2,MONTH($C$2),R$4)&lt;=Eingabeblatt!$I$8,IF(OR(AND(R$86="JA",R14&gt;R16),AND(R86="JA",Eingabeblatt!$I$10="NEIN")),Q19,Q19+R18),IF(Q19=0,0,IF(OR(COUNT(R7:R12,R22:R38)&gt;0,AND(COUNT(R7:R12,R22:R38)=0,R16=0)),IF(OR(AND(R$86="JA",R14&gt;R16),AND(R86="JA",Eingabeblatt!$I$10="NEIN")),Q19,Q19+R18),0))),Q19)</f>
        <v>0</v>
      </c>
      <c r="S19" s="1051">
        <f ca="1">IF(S4&lt;&gt;"",IF(DATE($D$2,MONTH($C$2),S$4)&lt;=Eingabeblatt!$I$8,IF(OR(AND(S$86="JA",S14&gt;S16),AND(S86="JA",Eingabeblatt!$I$10="NEIN")),R19,R19+S18),IF(R19=0,0,IF(OR(COUNT(S7:S12,S22:S38)&gt;0,AND(COUNT(S7:S12,S22:S38)=0,S16=0)),IF(OR(AND(S$86="JA",S14&gt;S16),AND(S86="JA",Eingabeblatt!$I$10="NEIN")),R19,R19+S18),0))),R19)</f>
        <v>0</v>
      </c>
      <c r="T19" s="1051">
        <f ca="1">IF(T4&lt;&gt;"",IF(DATE($D$2,MONTH($C$2),T$4)&lt;=Eingabeblatt!$I$8,IF(OR(AND(T$86="JA",T14&gt;T16),AND(T86="JA",Eingabeblatt!$I$10="NEIN")),S19,S19+T18),IF(S19=0,0,IF(OR(COUNT(T7:T12,T22:T38)&gt;0,AND(COUNT(T7:T12,T22:T38)=0,T16=0)),IF(OR(AND(T$86="JA",T14&gt;T16),AND(T86="JA",Eingabeblatt!$I$10="NEIN")),S19,S19+T18),0))),S19)</f>
        <v>0</v>
      </c>
      <c r="U19" s="1051">
        <f ca="1">IF(U4&lt;&gt;"",IF(DATE($D$2,MONTH($C$2),U$4)&lt;=Eingabeblatt!$I$8,IF(OR(AND(U$86="JA",U14&gt;U16),AND(U86="JA",Eingabeblatt!$I$10="NEIN")),T19,T19+U18),IF(T19=0,0,IF(OR(COUNT(U7:U12,U22:U38)&gt;0,AND(COUNT(U7:U12,U22:U38)=0,U16=0)),IF(OR(AND(U$86="JA",U14&gt;U16),AND(U86="JA",Eingabeblatt!$I$10="NEIN")),T19,T19+U18),0))),T19)</f>
        <v>0</v>
      </c>
      <c r="V19" s="1051">
        <f ca="1">IF(V4&lt;&gt;"",IF(DATE($D$2,MONTH($C$2),V$4)&lt;=Eingabeblatt!$I$8,IF(OR(AND(V$86="JA",V14&gt;V16),AND(V86="JA",Eingabeblatt!$I$10="NEIN")),U19,U19+V18),IF(U19=0,0,IF(OR(COUNT(V7:V12,V22:V38)&gt;0,AND(COUNT(V7:V12,V22:V38)=0,V16=0)),IF(OR(AND(V$86="JA",V14&gt;V16),AND(V86="JA",Eingabeblatt!$I$10="NEIN")),U19,U19+V18),0))),U19)</f>
        <v>0</v>
      </c>
      <c r="W19" s="1051">
        <f ca="1">IF(W4&lt;&gt;"",IF(DATE($D$2,MONTH($C$2),W$4)&lt;=Eingabeblatt!$I$8,IF(OR(AND(W$86="JA",W14&gt;W16),AND(W86="JA",Eingabeblatt!$I$10="NEIN")),V19,V19+W18),IF(V19=0,0,IF(OR(COUNT(W7:W12,W22:W38)&gt;0,AND(COUNT(W7:W12,W22:W38)=0,W16=0)),IF(OR(AND(W$86="JA",W14&gt;W16),AND(W86="JA",Eingabeblatt!$I$10="NEIN")),V19,V19+W18),0))),V19)</f>
        <v>0</v>
      </c>
      <c r="X19" s="1051">
        <f ca="1">IF(X4&lt;&gt;"",IF(DATE($D$2,MONTH($C$2),X$4)&lt;=Eingabeblatt!$I$8,IF(OR(AND(X$86="JA",X14&gt;X16),AND(X86="JA",Eingabeblatt!$I$10="NEIN")),W19,W19+X18),IF(W19=0,0,IF(OR(COUNT(X7:X12,X22:X38)&gt;0,AND(COUNT(X7:X12,X22:X38)=0,X16=0)),IF(OR(AND(X$86="JA",X14&gt;X16),AND(X86="JA",Eingabeblatt!$I$10="NEIN")),W19,W19+X18),0))),W19)</f>
        <v>0</v>
      </c>
      <c r="Y19" s="1051">
        <f ca="1">IF(Y4&lt;&gt;"",IF(DATE($D$2,MONTH($C$2),Y$4)&lt;=Eingabeblatt!$I$8,IF(OR(AND(Y$86="JA",Y14&gt;Y16),AND(Y86="JA",Eingabeblatt!$I$10="NEIN")),X19,X19+Y18),IF(X19=0,0,IF(OR(COUNT(Y7:Y12,Y22:Y38)&gt;0,AND(COUNT(Y7:Y12,Y22:Y38)=0,Y16=0)),IF(OR(AND(Y$86="JA",Y14&gt;Y16),AND(Y86="JA",Eingabeblatt!$I$10="NEIN")),X19,X19+Y18),0))),X19)</f>
        <v>0</v>
      </c>
      <c r="Z19" s="1051">
        <f ca="1">IF(Z4&lt;&gt;"",IF(DATE($D$2,MONTH($C$2),Z$4)&lt;=Eingabeblatt!$I$8,IF(OR(AND(Z$86="JA",Z14&gt;Z16),AND(Z86="JA",Eingabeblatt!$I$10="NEIN")),Y19,Y19+Z18),IF(Y19=0,0,IF(OR(COUNT(Z7:Z12,Z22:Z38)&gt;0,AND(COUNT(Z7:Z12,Z22:Z38)=0,Z16=0)),IF(OR(AND(Z$86="JA",Z14&gt;Z16),AND(Z86="JA",Eingabeblatt!$I$10="NEIN")),Y19,Y19+Z18),0))),Y19)</f>
        <v>0</v>
      </c>
      <c r="AA19" s="1051">
        <f ca="1">IF(AA4&lt;&gt;"",IF(DATE($D$2,MONTH($C$2),AA$4)&lt;=Eingabeblatt!$I$8,IF(OR(AND(AA$86="JA",AA14&gt;AA16),AND(AA86="JA",Eingabeblatt!$I$10="NEIN")),Z19,Z19+AA18),IF(Z19=0,0,IF(OR(COUNT(AA7:AA12,AA22:AA38)&gt;0,AND(COUNT(AA7:AA12,AA22:AA38)=0,AA16=0)),IF(OR(AND(AA$86="JA",AA14&gt;AA16),AND(AA86="JA",Eingabeblatt!$I$10="NEIN")),Z19,Z19+AA18),0))),Z19)</f>
        <v>0</v>
      </c>
      <c r="AB19" s="1051">
        <f ca="1">IF(AB4&lt;&gt;"",IF(DATE($D$2,MONTH($C$2),AB$4)&lt;=Eingabeblatt!$I$8,IF(OR(AND(AB$86="JA",AB14&gt;AB16),AND(AB86="JA",Eingabeblatt!$I$10="NEIN")),AA19,AA19+AB18),IF(AA19=0,0,IF(OR(COUNT(AB7:AB12,AB22:AB38)&gt;0,AND(COUNT(AB7:AB12,AB22:AB38)=0,AB16=0)),IF(OR(AND(AB$86="JA",AB14&gt;AB16),AND(AB86="JA",Eingabeblatt!$I$10="NEIN")),AA19,AA19+AB18),0))),AA19)</f>
        <v>0</v>
      </c>
      <c r="AC19" s="1051">
        <f ca="1">IF(AC4&lt;&gt;"",IF(DATE($D$2,MONTH($C$2),AC$4)&lt;=Eingabeblatt!$I$8,IF(OR(AND(AC$86="JA",AC14&gt;AC16),AND(AC86="JA",Eingabeblatt!$I$10="NEIN")),AB19,AB19+AC18),IF(AB19=0,0,IF(OR(COUNT(AC7:AC12,AC22:AC38)&gt;0,AND(COUNT(AC7:AC12,AC22:AC38)=0,AC16=0)),IF(OR(AND(AC$86="JA",AC14&gt;AC16),AND(AC86="JA",Eingabeblatt!$I$10="NEIN")),AB19,AB19+AC18),0))),AB19)</f>
        <v>0</v>
      </c>
      <c r="AD19" s="1051">
        <f ca="1">IF(AD4&lt;&gt;"",IF(DATE($D$2,MONTH($C$2),AD$4)&lt;=Eingabeblatt!$I$8,IF(OR(AND(AD$86="JA",AD14&gt;AD16),AND(AD86="JA",Eingabeblatt!$I$10="NEIN")),AC19,AC19+AD18),IF(AC19=0,0,IF(OR(COUNT(AD7:AD12,AD22:AD38)&gt;0,AND(COUNT(AD7:AD12,AD22:AD38)=0,AD16=0)),IF(OR(AND(AD$86="JA",AD14&gt;AD16),AND(AD86="JA",Eingabeblatt!$I$10="NEIN")),AC19,AC19+AD18),0))),AC19)</f>
        <v>0</v>
      </c>
      <c r="AE19" s="1051">
        <f ca="1">IF(AE4&lt;&gt;"",IF(DATE($D$2,MONTH($C$2),AE$4)&lt;=Eingabeblatt!$I$8,IF(OR(AND(AE$86="JA",AE14&gt;AE16),AND(AE86="JA",Eingabeblatt!$I$10="NEIN")),AD19,AD19+AE18),IF(AD19=0,0,IF(OR(COUNT(AE7:AE12,AE22:AE38)&gt;0,AND(COUNT(AE7:AE12,AE22:AE38)=0,AE16=0)),IF(OR(AND(AE$86="JA",AE14&gt;AE16),AND(AE86="JA",Eingabeblatt!$I$10="NEIN")),AD19,AD19+AE18),0))),AD19)</f>
        <v>0</v>
      </c>
      <c r="AF19" s="1051">
        <f ca="1">IF(AF4&lt;&gt;"",IF(DATE($D$2,MONTH($C$2),AF$4)&lt;=Eingabeblatt!$I$8,IF(OR(AND(AF$86="JA",AF14&gt;AF16),AND(AF86="JA",Eingabeblatt!$I$10="NEIN")),AE19,AE19+AF18),IF(AE19=0,0,IF(OR(COUNT(AF7:AF12,AF22:AF38)&gt;0,AND(COUNT(AF7:AF12,AF22:AF38)=0,AF16=0)),IF(OR(AND(AF$86="JA",AF14&gt;AF16),AND(AF86="JA",Eingabeblatt!$I$10="NEIN")),AE19,AE19+AF18),0))),AE19)</f>
        <v>0</v>
      </c>
      <c r="AG19" s="1051">
        <f ca="1">IF(AG4&lt;&gt;"",IF(DATE($D$2,MONTH($C$2),AG$4)&lt;=Eingabeblatt!$I$8,IF(OR(AND(AG$86="JA",AG14&gt;AG16),AND(AG86="JA",Eingabeblatt!$I$10="NEIN")),AF19,AF19+AG18),IF(AF19=0,0,IF(OR(COUNT(AG7:AG12,AG22:AG38)&gt;0,AND(COUNT(AG7:AG12,AG22:AG38)=0,AG16=0)),IF(OR(AND(AG$86="JA",AG14&gt;AG16),AND(AG86="JA",Eingabeblatt!$I$10="NEIN")),AF19,AF19+AG18),0))),AF19)</f>
        <v>0</v>
      </c>
      <c r="AH19" s="1051">
        <f ca="1">IF(AH4&lt;&gt;"",IF(DATE($D$2,MONTH($C$2),AH$4)&lt;=Eingabeblatt!$I$8,IF(OR(AND(AH$86="JA",AH14&gt;AH16),AND(AH86="JA",Eingabeblatt!$I$10="NEIN")),AG19,AG19+AH18),IF(AG19=0,0,IF(OR(COUNT(AH7:AH12,AH22:AH38)&gt;0,AND(COUNT(AH7:AH12,AH22:AH38)=0,AH16=0)),IF(OR(AND(AH$86="JA",AH14&gt;AH16),AND(AH86="JA",Eingabeblatt!$I$10="NEIN")),AG19,AG19+AH18),0))),AG19)</f>
        <v>0</v>
      </c>
      <c r="AI19" s="1052">
        <f ca="1">IF(AI4&lt;&gt;"",IF(DATE($D$2,MONTH($C$2),AI$4)&lt;=Eingabeblatt!$I$8,IF(OR(AND(AI$86="JA",AI14&gt;AI16),AND(AI86="JA",Eingabeblatt!$I$10="NEIN")),AH19,AH19+AI18),IF(AH19=0,0,IF(OR(COUNT(AI7:AI12,AI22:AI38)&gt;0,AND(COUNT(AI7:AI12,AI22:AI38)=0,AI16=0)),IF(OR(AND(AI$86="JA",AI14&gt;AI16),AND(AI86="JA",Eingabeblatt!$I$10="NEIN")),AH19,AH19+AI18),0))),AH19)</f>
        <v>0</v>
      </c>
      <c r="AJ19" s="1053">
        <f ca="1">AI19</f>
        <v>0</v>
      </c>
      <c r="AK19" s="904">
        <f ca="1">AI19</f>
        <v>0</v>
      </c>
      <c r="AL19" s="905" t="s">
        <v>422</v>
      </c>
      <c r="AM19" s="905"/>
      <c r="AN19" s="906"/>
      <c r="AO19" s="781"/>
      <c r="AP19" s="781"/>
      <c r="AQ19" s="781"/>
      <c r="AR19" s="781"/>
      <c r="AS19" s="907"/>
      <c r="AT19" s="781"/>
    </row>
    <row r="20" spans="1:46" ht="22.5" hidden="1" customHeight="1" outlineLevel="1" x14ac:dyDescent="0.2">
      <c r="B20" s="143"/>
      <c r="C20" s="953" t="str">
        <f>Januar!C20</f>
        <v>Feiertagssaldo</v>
      </c>
      <c r="D20" s="954">
        <f>August!AJ20</f>
        <v>0</v>
      </c>
      <c r="E20" s="955">
        <f t="shared" ref="E20:AI20" si="9">IF(VLOOKUP(DATE($D$2,MONTH($C$2),E$4),Ferienanspruch,3,TRUE)=100,D20-E21,IF(VLOOKUP(DATE($D$2,MONTH($C$2),E$4),Feiertagsanspruch,6,TRUE)*24&lt;Normtagesarbeitszeit*24,IF((E17-E15)&lt;0,D20-E21+(E15-E17),IF(E17&gt;0,D20-E21,D20-E21+E15)),IF((E17-E15)&lt;0,D20-E21+(E15-E17),IF(E17&gt;0,D20-E21,D20-E21+E15))))</f>
        <v>0</v>
      </c>
      <c r="F20" s="956">
        <f t="shared" si="9"/>
        <v>0</v>
      </c>
      <c r="G20" s="956">
        <f t="shared" si="9"/>
        <v>0</v>
      </c>
      <c r="H20" s="956">
        <f t="shared" si="9"/>
        <v>0</v>
      </c>
      <c r="I20" s="956">
        <f t="shared" si="9"/>
        <v>0</v>
      </c>
      <c r="J20" s="956">
        <f t="shared" si="9"/>
        <v>0</v>
      </c>
      <c r="K20" s="956">
        <f t="shared" si="9"/>
        <v>0</v>
      </c>
      <c r="L20" s="956">
        <f t="shared" si="9"/>
        <v>0</v>
      </c>
      <c r="M20" s="956">
        <f t="shared" si="9"/>
        <v>0</v>
      </c>
      <c r="N20" s="956">
        <f t="shared" si="9"/>
        <v>0</v>
      </c>
      <c r="O20" s="956">
        <f t="shared" si="9"/>
        <v>0</v>
      </c>
      <c r="P20" s="956">
        <f t="shared" si="9"/>
        <v>0</v>
      </c>
      <c r="Q20" s="956">
        <f t="shared" si="9"/>
        <v>0</v>
      </c>
      <c r="R20" s="956">
        <f t="shared" si="9"/>
        <v>0</v>
      </c>
      <c r="S20" s="956">
        <f t="shared" si="9"/>
        <v>0</v>
      </c>
      <c r="T20" s="956">
        <f t="shared" si="9"/>
        <v>0</v>
      </c>
      <c r="U20" s="956">
        <f t="shared" si="9"/>
        <v>0</v>
      </c>
      <c r="V20" s="956">
        <f t="shared" si="9"/>
        <v>0</v>
      </c>
      <c r="W20" s="956">
        <f t="shared" si="9"/>
        <v>0</v>
      </c>
      <c r="X20" s="956">
        <f t="shared" si="9"/>
        <v>0</v>
      </c>
      <c r="Y20" s="956">
        <f t="shared" si="9"/>
        <v>0</v>
      </c>
      <c r="Z20" s="956">
        <f t="shared" si="9"/>
        <v>0</v>
      </c>
      <c r="AA20" s="956">
        <f t="shared" si="9"/>
        <v>0</v>
      </c>
      <c r="AB20" s="956">
        <f t="shared" si="9"/>
        <v>0</v>
      </c>
      <c r="AC20" s="956">
        <f t="shared" si="9"/>
        <v>0</v>
      </c>
      <c r="AD20" s="956">
        <f t="shared" si="9"/>
        <v>0</v>
      </c>
      <c r="AE20" s="956">
        <f t="shared" si="9"/>
        <v>0</v>
      </c>
      <c r="AF20" s="956">
        <f t="shared" si="9"/>
        <v>0</v>
      </c>
      <c r="AG20" s="956">
        <f t="shared" si="9"/>
        <v>0</v>
      </c>
      <c r="AH20" s="956">
        <f t="shared" si="9"/>
        <v>0</v>
      </c>
      <c r="AI20" s="957">
        <f t="shared" si="9"/>
        <v>0</v>
      </c>
      <c r="AJ20" s="142">
        <f>AI20</f>
        <v>0</v>
      </c>
      <c r="AK20" s="912">
        <f>AJ20</f>
        <v>0</v>
      </c>
      <c r="AL20" s="141" t="s">
        <v>423</v>
      </c>
      <c r="AM20" s="91"/>
      <c r="AN20" s="113"/>
      <c r="AO20" s="113"/>
      <c r="AP20" s="113"/>
      <c r="AQ20" s="89"/>
      <c r="AR20" s="89"/>
    </row>
    <row r="21" spans="1:46" s="88" customFormat="1" hidden="1" outlineLevel="1" x14ac:dyDescent="0.2">
      <c r="A21" s="88" t="s">
        <v>424</v>
      </c>
      <c r="B21" s="143"/>
      <c r="C21" s="1054" t="str">
        <f>Januar!C21</f>
        <v>Komp.Feiertg.f.Teilzeiter</v>
      </c>
      <c r="D21" s="1055"/>
      <c r="E21" s="1056"/>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8"/>
      <c r="AJ21" s="1059">
        <f>SUM(D21:AI21)</f>
        <v>0</v>
      </c>
      <c r="AK21" s="1060">
        <f>AJ21</f>
        <v>0</v>
      </c>
      <c r="AL21" s="144" t="s">
        <v>359</v>
      </c>
      <c r="AM21" s="145"/>
      <c r="AN21" s="146"/>
      <c r="AO21" s="146"/>
      <c r="AP21" s="146"/>
      <c r="AQ21" s="147"/>
      <c r="AR21" s="147"/>
      <c r="AT21" s="8"/>
    </row>
    <row r="22" spans="1:46" s="88" customFormat="1" collapsed="1" x14ac:dyDescent="0.2">
      <c r="A22" s="148"/>
      <c r="B22" s="143"/>
      <c r="C22" s="149" t="str">
        <f>Januar!C22</f>
        <v>Ferienbezug</v>
      </c>
      <c r="D22" s="150">
        <f>August!AK22</f>
        <v>8.0500000000000007</v>
      </c>
      <c r="E22" s="913"/>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322"/>
      <c r="AJ22" s="151">
        <f>SUM(E22:AI22)</f>
        <v>0</v>
      </c>
      <c r="AK22" s="152">
        <f>ROUND(D22-AJ22,8)</f>
        <v>8.0500000000000007</v>
      </c>
      <c r="AL22" s="144" t="s">
        <v>425</v>
      </c>
      <c r="AM22" s="145" t="s">
        <v>426</v>
      </c>
      <c r="AN22" s="146"/>
      <c r="AO22" s="146"/>
      <c r="AP22" s="146"/>
      <c r="AQ22" s="147"/>
      <c r="AR22" s="147"/>
    </row>
    <row r="23" spans="1:46" s="88" customFormat="1" ht="22.5" hidden="1" customHeight="1" outlineLevel="1" x14ac:dyDescent="0.2">
      <c r="A23" s="148"/>
      <c r="B23" s="153">
        <f>Eingabeblatt!E29</f>
        <v>0</v>
      </c>
      <c r="C23" s="154" t="str">
        <f>Januar!C23</f>
        <v>Kompens. Arbeitszeit</v>
      </c>
      <c r="D23" s="155">
        <f>August!AK23</f>
        <v>0</v>
      </c>
      <c r="E23" s="913"/>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322"/>
      <c r="AJ23" s="151">
        <f>SUM(E23:AI23)</f>
        <v>0</v>
      </c>
      <c r="AK23" s="152">
        <f>IF(B23="",0,ROUND(B23+D23-AJ23,8))</f>
        <v>0</v>
      </c>
      <c r="AL23" s="144" t="s">
        <v>425</v>
      </c>
      <c r="AM23" s="145"/>
      <c r="AN23" s="146"/>
      <c r="AO23" s="692"/>
      <c r="AP23" s="146"/>
      <c r="AQ23" s="147"/>
      <c r="AR23" s="147"/>
    </row>
    <row r="24" spans="1:46" s="88" customFormat="1" ht="22.5" hidden="1" customHeight="1" outlineLevel="1" x14ac:dyDescent="0.2">
      <c r="A24" s="148" t="s">
        <v>424</v>
      </c>
      <c r="B24" s="156"/>
      <c r="C24" s="154" t="str">
        <f>Januar!C24</f>
        <v>Kompens. Überzeit</v>
      </c>
      <c r="D24" s="150">
        <f>August!AK24</f>
        <v>0</v>
      </c>
      <c r="E24" s="913"/>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322"/>
      <c r="AJ24" s="151">
        <f>SUM(E24:AI24)</f>
        <v>0</v>
      </c>
      <c r="AK24" s="152">
        <f>ROUND(D24+AJ85-AJ24,8)</f>
        <v>0</v>
      </c>
      <c r="AL24" s="157" t="s">
        <v>428</v>
      </c>
      <c r="AM24" s="145" t="s">
        <v>429</v>
      </c>
      <c r="AN24" s="146"/>
      <c r="AO24" s="692"/>
      <c r="AP24" s="146"/>
      <c r="AQ24" s="147"/>
      <c r="AR24" s="147"/>
    </row>
    <row r="25" spans="1:46" s="88" customFormat="1" collapsed="1" x14ac:dyDescent="0.2">
      <c r="A25" s="148"/>
      <c r="B25" s="156"/>
      <c r="C25" s="154" t="str">
        <f>Januar!C25</f>
        <v>Krankheit</v>
      </c>
      <c r="D25" s="158">
        <f>August!AK25</f>
        <v>0</v>
      </c>
      <c r="E25" s="913"/>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322"/>
      <c r="AJ25" s="151">
        <f>SUM(E25:AI25)</f>
        <v>0</v>
      </c>
      <c r="AK25" s="152">
        <f t="shared" ref="AK25:AK30" si="10">ROUND(B25+D25+AJ25,8)</f>
        <v>0</v>
      </c>
      <c r="AL25" s="144" t="s">
        <v>359</v>
      </c>
      <c r="AM25" s="145"/>
      <c r="AN25" s="146"/>
      <c r="AO25" s="146"/>
      <c r="AP25" s="147"/>
      <c r="AQ25" s="147"/>
      <c r="AR25" s="147"/>
    </row>
    <row r="26" spans="1:46" s="88" customFormat="1" x14ac:dyDescent="0.2">
      <c r="A26" s="148"/>
      <c r="B26" s="156"/>
      <c r="C26" s="154" t="str">
        <f>Januar!C26</f>
        <v>Unfall</v>
      </c>
      <c r="D26" s="158">
        <f>August!AK26</f>
        <v>0</v>
      </c>
      <c r="E26" s="913"/>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322"/>
      <c r="AJ26" s="151">
        <f>SUM(E26:AI26)</f>
        <v>0</v>
      </c>
      <c r="AK26" s="152">
        <f t="shared" si="10"/>
        <v>0</v>
      </c>
      <c r="AL26" s="144" t="s">
        <v>359</v>
      </c>
      <c r="AM26" s="145" t="s">
        <v>430</v>
      </c>
      <c r="AN26" s="146"/>
      <c r="AO26" s="146"/>
      <c r="AP26" s="146"/>
      <c r="AQ26" s="147"/>
      <c r="AR26" s="147"/>
    </row>
    <row r="27" spans="1:46" s="88" customFormat="1" x14ac:dyDescent="0.2">
      <c r="A27" s="148"/>
      <c r="B27" s="156"/>
      <c r="C27" s="154" t="str">
        <f>Januar!C27</f>
        <v>Militär / Zivildienst</v>
      </c>
      <c r="D27" s="158">
        <f>August!AK27</f>
        <v>0</v>
      </c>
      <c r="E27" s="913"/>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322"/>
      <c r="AJ27" s="151">
        <f t="shared" ref="AJ27:AJ35" si="11">SUM(E27:AI27)</f>
        <v>0</v>
      </c>
      <c r="AK27" s="152">
        <f t="shared" si="10"/>
        <v>0</v>
      </c>
      <c r="AL27" s="144" t="s">
        <v>359</v>
      </c>
      <c r="AM27" s="145"/>
      <c r="AN27" s="146"/>
      <c r="AO27" s="146"/>
      <c r="AP27" s="147"/>
      <c r="AQ27" s="147"/>
      <c r="AR27" s="147"/>
    </row>
    <row r="28" spans="1:46" s="88" customFormat="1" ht="22.5" hidden="1" customHeight="1" outlineLevel="2" x14ac:dyDescent="0.2">
      <c r="A28" s="148" t="s">
        <v>424</v>
      </c>
      <c r="B28" s="156"/>
      <c r="C28" s="154" t="str">
        <f>Januar!C28</f>
        <v>Nichtberufsunfall</v>
      </c>
      <c r="D28" s="158">
        <f>August!AK28</f>
        <v>0</v>
      </c>
      <c r="E28" s="913"/>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322"/>
      <c r="AJ28" s="151">
        <f t="shared" si="11"/>
        <v>0</v>
      </c>
      <c r="AK28" s="152">
        <f t="shared" si="10"/>
        <v>0</v>
      </c>
      <c r="AL28" s="157" t="s">
        <v>359</v>
      </c>
      <c r="AM28" s="145"/>
      <c r="AN28" s="146"/>
      <c r="AO28" s="692"/>
      <c r="AP28" s="146"/>
      <c r="AQ28" s="147"/>
      <c r="AR28" s="147"/>
    </row>
    <row r="29" spans="1:46" s="88" customFormat="1" collapsed="1" x14ac:dyDescent="0.2">
      <c r="A29" s="148"/>
      <c r="B29" s="156"/>
      <c r="C29" s="154" t="str">
        <f>Januar!C29</f>
        <v>Weiterbildung</v>
      </c>
      <c r="D29" s="158">
        <f>August!AK29</f>
        <v>0</v>
      </c>
      <c r="E29" s="913"/>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322"/>
      <c r="AJ29" s="151">
        <f t="shared" si="11"/>
        <v>0</v>
      </c>
      <c r="AK29" s="152">
        <f t="shared" si="10"/>
        <v>0</v>
      </c>
      <c r="AL29" s="144" t="s">
        <v>359</v>
      </c>
      <c r="AM29" s="145"/>
      <c r="AN29" s="146"/>
      <c r="AO29" s="146"/>
      <c r="AP29" s="147"/>
      <c r="AQ29" s="147"/>
      <c r="AR29" s="147"/>
    </row>
    <row r="30" spans="1:46" s="88" customFormat="1" x14ac:dyDescent="0.2">
      <c r="A30" s="148"/>
      <c r="B30" s="156"/>
      <c r="C30" s="154" t="str">
        <f>Januar!C30</f>
        <v>Unbezahlter Urlaub</v>
      </c>
      <c r="D30" s="158">
        <f>August!AK30</f>
        <v>0</v>
      </c>
      <c r="E30" s="913"/>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322"/>
      <c r="AJ30" s="151">
        <f t="shared" si="11"/>
        <v>0</v>
      </c>
      <c r="AK30" s="152">
        <f t="shared" si="10"/>
        <v>0</v>
      </c>
      <c r="AL30" s="144" t="s">
        <v>359</v>
      </c>
      <c r="AM30" s="145"/>
      <c r="AN30" s="146"/>
      <c r="AO30" s="146"/>
      <c r="AP30" s="147"/>
      <c r="AQ30" s="147"/>
      <c r="AR30" s="147"/>
    </row>
    <row r="31" spans="1:46" s="88" customFormat="1" x14ac:dyDescent="0.2">
      <c r="A31" s="148"/>
      <c r="B31" s="159">
        <f>IF(Eingabeblatt!C183="OK",Eingabeblatt!A183,"  Fehler")</f>
        <v>0</v>
      </c>
      <c r="C31" s="154" t="str">
        <f>Januar!C31</f>
        <v>Bezahlter Urlaub</v>
      </c>
      <c r="D31" s="158">
        <f>August!AK31</f>
        <v>0</v>
      </c>
      <c r="E31" s="913"/>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322"/>
      <c r="AJ31" s="151">
        <f t="shared" si="11"/>
        <v>0</v>
      </c>
      <c r="AK31" s="160">
        <f>ROUND(B31+D31-AJ31,8)</f>
        <v>0</v>
      </c>
      <c r="AL31" s="144" t="s">
        <v>425</v>
      </c>
      <c r="AM31" s="145"/>
      <c r="AN31" s="146"/>
      <c r="AO31" s="146"/>
      <c r="AP31" s="147"/>
      <c r="AQ31" s="147"/>
      <c r="AR31" s="147"/>
    </row>
    <row r="32" spans="1:46" s="88" customFormat="1" x14ac:dyDescent="0.2">
      <c r="A32" s="148"/>
      <c r="B32" s="159">
        <f>IF(Eingabeblatt!C184="OK",Eingabeblatt!A184,"  Fehler")</f>
        <v>0</v>
      </c>
      <c r="C32" s="161" t="str">
        <f>Januar!C32</f>
        <v>Kaderarbeitszeit</v>
      </c>
      <c r="D32" s="162">
        <f>August!AK32</f>
        <v>0</v>
      </c>
      <c r="E32" s="914"/>
      <c r="F32" s="915"/>
      <c r="G32" s="915"/>
      <c r="H32" s="915"/>
      <c r="I32" s="915"/>
      <c r="J32" s="915"/>
      <c r="K32" s="915"/>
      <c r="L32" s="915"/>
      <c r="M32" s="915"/>
      <c r="N32" s="915"/>
      <c r="O32" s="915"/>
      <c r="P32" s="915"/>
      <c r="Q32" s="915"/>
      <c r="R32" s="915"/>
      <c r="S32" s="915"/>
      <c r="T32" s="915"/>
      <c r="U32" s="915"/>
      <c r="V32" s="915"/>
      <c r="W32" s="915"/>
      <c r="X32" s="915"/>
      <c r="Y32" s="915"/>
      <c r="Z32" s="915"/>
      <c r="AA32" s="915"/>
      <c r="AB32" s="915"/>
      <c r="AC32" s="915"/>
      <c r="AD32" s="915"/>
      <c r="AE32" s="915"/>
      <c r="AF32" s="915"/>
      <c r="AG32" s="915"/>
      <c r="AH32" s="915"/>
      <c r="AI32" s="916"/>
      <c r="AJ32" s="163">
        <f t="shared" si="11"/>
        <v>0</v>
      </c>
      <c r="AK32" s="164">
        <f>ROUND(B32+D32-AJ32,8)</f>
        <v>0</v>
      </c>
      <c r="AL32" s="157" t="s">
        <v>425</v>
      </c>
      <c r="AM32" s="145"/>
      <c r="AN32" s="146"/>
      <c r="AO32" s="146"/>
      <c r="AP32" s="146"/>
      <c r="AQ32" s="147"/>
      <c r="AR32" s="147"/>
    </row>
    <row r="33" spans="1:46" ht="22.5" hidden="1" customHeight="1" outlineLevel="1" x14ac:dyDescent="0.2">
      <c r="A33" s="165" t="s">
        <v>424</v>
      </c>
      <c r="B33" s="156">
        <f>IF(Eingabeblatt!C185="OK",Eingabeblatt!A185,"  Fehler")</f>
        <v>0</v>
      </c>
      <c r="C33" s="166" t="str">
        <f>Januar!C33</f>
        <v>Nebenbeschäftigung</v>
      </c>
      <c r="D33" s="162"/>
      <c r="E33" s="167"/>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9"/>
      <c r="AJ33" s="140">
        <f t="shared" si="11"/>
        <v>0</v>
      </c>
      <c r="AK33" s="917">
        <f>ROUND(B33+D33-AJ33,8)</f>
        <v>0</v>
      </c>
      <c r="AL33" s="157" t="s">
        <v>425</v>
      </c>
      <c r="AM33" s="91"/>
      <c r="AN33" s="113"/>
      <c r="AO33" s="692"/>
      <c r="AP33" s="113"/>
      <c r="AQ33" s="89"/>
      <c r="AR33" s="89"/>
      <c r="AT33" s="88"/>
    </row>
    <row r="34" spans="1:46" ht="22.5" hidden="1" customHeight="1" outlineLevel="1" x14ac:dyDescent="0.2">
      <c r="A34" s="165"/>
      <c r="B34" s="156">
        <f>IF(Eingabeblatt!C182="OK",Eingabeblatt!A182,"  Fehler")</f>
        <v>0</v>
      </c>
      <c r="C34" s="170" t="str">
        <f>Januar!C34</f>
        <v>D A G</v>
      </c>
      <c r="D34" s="162">
        <f>August!AK34</f>
        <v>0</v>
      </c>
      <c r="E34" s="171"/>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3"/>
      <c r="AJ34" s="174">
        <f>SUM(E34:AI34)</f>
        <v>0</v>
      </c>
      <c r="AK34" s="152">
        <f>ROUND(B34+D34-AJ34,8)</f>
        <v>0</v>
      </c>
      <c r="AL34" s="157" t="s">
        <v>425</v>
      </c>
      <c r="AM34" s="91"/>
      <c r="AN34" s="113"/>
      <c r="AO34" s="692"/>
      <c r="AP34" s="113"/>
      <c r="AQ34" s="89"/>
      <c r="AR34" s="89"/>
    </row>
    <row r="35" spans="1:46" ht="22.5" hidden="1" customHeight="1" outlineLevel="1" x14ac:dyDescent="0.2">
      <c r="A35" s="165" t="s">
        <v>424</v>
      </c>
      <c r="B35" s="156"/>
      <c r="C35" s="170" t="str">
        <f>Januar!C35</f>
        <v>Diverses</v>
      </c>
      <c r="D35" s="162"/>
      <c r="E35" s="171"/>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c r="AJ35" s="174">
        <f t="shared" si="11"/>
        <v>0</v>
      </c>
      <c r="AK35" s="152">
        <f>ROUND(B35+D35+AJ35,8)</f>
        <v>0</v>
      </c>
      <c r="AL35" s="157" t="s">
        <v>359</v>
      </c>
      <c r="AM35" s="91"/>
      <c r="AN35" s="113"/>
      <c r="AO35" s="692"/>
      <c r="AP35" s="113"/>
      <c r="AQ35" s="89"/>
      <c r="AR35" s="89"/>
    </row>
    <row r="36" spans="1:46" ht="22.5" hidden="1" customHeight="1" outlineLevel="1" x14ac:dyDescent="0.2">
      <c r="A36" s="165" t="s">
        <v>424</v>
      </c>
      <c r="B36" s="156"/>
      <c r="C36" s="170" t="str">
        <f>Januar!C36</f>
        <v>freie Zeile 1</v>
      </c>
      <c r="D36" s="162"/>
      <c r="E36" s="171"/>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c r="AJ36" s="174">
        <f>SUM(E36:AI36)</f>
        <v>0</v>
      </c>
      <c r="AK36" s="152">
        <f>ROUND(B36+D36+AJ36,8)</f>
        <v>0</v>
      </c>
      <c r="AL36" s="157" t="s">
        <v>359</v>
      </c>
      <c r="AM36" s="91"/>
      <c r="AN36" s="113"/>
      <c r="AO36" s="692"/>
      <c r="AP36" s="113"/>
      <c r="AQ36" s="89"/>
      <c r="AR36" s="89"/>
    </row>
    <row r="37" spans="1:46" ht="22.5" hidden="1" customHeight="1" outlineLevel="1" x14ac:dyDescent="0.2">
      <c r="A37" s="165" t="s">
        <v>424</v>
      </c>
      <c r="B37" s="156"/>
      <c r="C37" s="170" t="str">
        <f>Januar!C37</f>
        <v>freie Zeile 2</v>
      </c>
      <c r="D37" s="162"/>
      <c r="E37" s="171"/>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3"/>
      <c r="AJ37" s="174">
        <f>SUM(E37:AI37)</f>
        <v>0</v>
      </c>
      <c r="AK37" s="152">
        <f>ROUND(B37+D37+AJ37,8)</f>
        <v>0</v>
      </c>
      <c r="AL37" s="157" t="s">
        <v>359</v>
      </c>
      <c r="AM37" s="91"/>
      <c r="AN37" s="113"/>
      <c r="AO37" s="692"/>
      <c r="AP37" s="113"/>
      <c r="AQ37" s="89"/>
      <c r="AR37" s="89"/>
    </row>
    <row r="38" spans="1:46" ht="22.5" hidden="1" customHeight="1" outlineLevel="1" x14ac:dyDescent="0.2">
      <c r="A38" s="165" t="s">
        <v>424</v>
      </c>
      <c r="B38" s="156"/>
      <c r="C38" s="175" t="str">
        <f>Januar!C38</f>
        <v>freie Zeile 3</v>
      </c>
      <c r="D38" s="162"/>
      <c r="E38" s="176"/>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8"/>
      <c r="AJ38" s="142">
        <f>SUM(E38:AI38)</f>
        <v>0</v>
      </c>
      <c r="AK38" s="912">
        <f>ROUND(B38+D38+AJ38,8)</f>
        <v>0</v>
      </c>
      <c r="AL38" s="157" t="s">
        <v>359</v>
      </c>
      <c r="AM38" s="91"/>
      <c r="AN38" s="113"/>
      <c r="AO38" s="692"/>
      <c r="AP38" s="113"/>
      <c r="AQ38" s="89"/>
      <c r="AR38" s="89"/>
    </row>
    <row r="39" spans="1:46" s="34" customFormat="1" hidden="1" outlineLevel="1" x14ac:dyDescent="0.2">
      <c r="A39" s="179"/>
      <c r="B39" s="180"/>
      <c r="C39" s="918" t="str">
        <f>Januar!C39</f>
        <v>Arbeitszeit aufgeteilt</v>
      </c>
      <c r="D39" s="1061"/>
      <c r="E39" s="1062">
        <f>ROUND(SUM(E41:E84),8)</f>
        <v>0</v>
      </c>
      <c r="F39" s="1063">
        <f>ROUND(SUM(F41:F84),8)</f>
        <v>0</v>
      </c>
      <c r="G39" s="1063">
        <f>ROUND(SUM(G41:G84),8)</f>
        <v>0</v>
      </c>
      <c r="H39" s="1063">
        <f t="shared" ref="H39:AI39" si="12">ROUND(SUM(H41:H84),8)</f>
        <v>0</v>
      </c>
      <c r="I39" s="1063">
        <f t="shared" si="12"/>
        <v>0</v>
      </c>
      <c r="J39" s="1063">
        <f t="shared" si="12"/>
        <v>0</v>
      </c>
      <c r="K39" s="1063">
        <f t="shared" si="12"/>
        <v>0</v>
      </c>
      <c r="L39" s="1063">
        <f t="shared" si="12"/>
        <v>0</v>
      </c>
      <c r="M39" s="1063">
        <f t="shared" si="12"/>
        <v>0</v>
      </c>
      <c r="N39" s="1063">
        <f t="shared" si="12"/>
        <v>0</v>
      </c>
      <c r="O39" s="1063">
        <f t="shared" si="12"/>
        <v>0</v>
      </c>
      <c r="P39" s="1063">
        <f t="shared" si="12"/>
        <v>0</v>
      </c>
      <c r="Q39" s="1063">
        <f t="shared" si="12"/>
        <v>0</v>
      </c>
      <c r="R39" s="1063">
        <f t="shared" si="12"/>
        <v>0</v>
      </c>
      <c r="S39" s="1063">
        <f t="shared" si="12"/>
        <v>0</v>
      </c>
      <c r="T39" s="1063">
        <f t="shared" si="12"/>
        <v>0</v>
      </c>
      <c r="U39" s="1063">
        <f t="shared" si="12"/>
        <v>0</v>
      </c>
      <c r="V39" s="1063">
        <f t="shared" si="12"/>
        <v>0</v>
      </c>
      <c r="W39" s="1063">
        <f t="shared" si="12"/>
        <v>0</v>
      </c>
      <c r="X39" s="1063">
        <f t="shared" si="12"/>
        <v>0</v>
      </c>
      <c r="Y39" s="1063">
        <f t="shared" si="12"/>
        <v>0</v>
      </c>
      <c r="Z39" s="1063">
        <f t="shared" si="12"/>
        <v>0</v>
      </c>
      <c r="AA39" s="1063">
        <f t="shared" si="12"/>
        <v>0</v>
      </c>
      <c r="AB39" s="1063">
        <f t="shared" si="12"/>
        <v>0</v>
      </c>
      <c r="AC39" s="1063">
        <f t="shared" si="12"/>
        <v>0</v>
      </c>
      <c r="AD39" s="1063">
        <f t="shared" si="12"/>
        <v>0</v>
      </c>
      <c r="AE39" s="1063">
        <f t="shared" si="12"/>
        <v>0</v>
      </c>
      <c r="AF39" s="1063">
        <f t="shared" si="12"/>
        <v>0</v>
      </c>
      <c r="AG39" s="1063">
        <f t="shared" si="12"/>
        <v>0</v>
      </c>
      <c r="AH39" s="1063">
        <f t="shared" si="12"/>
        <v>0</v>
      </c>
      <c r="AI39" s="1064">
        <f t="shared" si="12"/>
        <v>0</v>
      </c>
      <c r="AJ39" s="969"/>
      <c r="AK39" s="1065"/>
      <c r="AL39" s="13"/>
      <c r="AM39" s="181"/>
      <c r="AN39" s="182"/>
      <c r="AT39" s="8"/>
    </row>
    <row r="40" spans="1:46" s="34" customFormat="1" ht="42" customHeight="1" collapsed="1" x14ac:dyDescent="0.2">
      <c r="A40" s="179"/>
      <c r="B40" s="180"/>
      <c r="C40" s="919" t="str">
        <f>Januar!C40</f>
        <v>in folgenden Bereichen nicht oder zuviel aufgeteilte Arbeitszeit</v>
      </c>
      <c r="D40" s="920"/>
      <c r="E40" s="921">
        <f t="shared" ref="E40:AI40" si="13">ROUND(IF(E13=E39,0,IF(E13&lt;&gt;0,E13-E39,0)),8)</f>
        <v>0</v>
      </c>
      <c r="F40" s="922">
        <f t="shared" si="13"/>
        <v>0</v>
      </c>
      <c r="G40" s="922">
        <f t="shared" si="13"/>
        <v>0</v>
      </c>
      <c r="H40" s="922">
        <f t="shared" si="13"/>
        <v>0</v>
      </c>
      <c r="I40" s="922">
        <f t="shared" si="13"/>
        <v>0</v>
      </c>
      <c r="J40" s="922">
        <f t="shared" si="13"/>
        <v>0</v>
      </c>
      <c r="K40" s="922">
        <f t="shared" si="13"/>
        <v>0</v>
      </c>
      <c r="L40" s="922">
        <f t="shared" si="13"/>
        <v>0</v>
      </c>
      <c r="M40" s="922">
        <f t="shared" si="13"/>
        <v>0</v>
      </c>
      <c r="N40" s="922">
        <f t="shared" si="13"/>
        <v>0</v>
      </c>
      <c r="O40" s="922">
        <f t="shared" si="13"/>
        <v>0</v>
      </c>
      <c r="P40" s="922">
        <f t="shared" si="13"/>
        <v>0</v>
      </c>
      <c r="Q40" s="922">
        <f t="shared" si="13"/>
        <v>0</v>
      </c>
      <c r="R40" s="922">
        <f t="shared" si="13"/>
        <v>0</v>
      </c>
      <c r="S40" s="922">
        <f t="shared" si="13"/>
        <v>0</v>
      </c>
      <c r="T40" s="922">
        <f t="shared" si="13"/>
        <v>0</v>
      </c>
      <c r="U40" s="922">
        <f t="shared" si="13"/>
        <v>0</v>
      </c>
      <c r="V40" s="922">
        <f t="shared" si="13"/>
        <v>0</v>
      </c>
      <c r="W40" s="922">
        <f t="shared" si="13"/>
        <v>0</v>
      </c>
      <c r="X40" s="922">
        <f t="shared" si="13"/>
        <v>0</v>
      </c>
      <c r="Y40" s="922">
        <f t="shared" si="13"/>
        <v>0</v>
      </c>
      <c r="Z40" s="922">
        <f t="shared" si="13"/>
        <v>0</v>
      </c>
      <c r="AA40" s="922">
        <f t="shared" si="13"/>
        <v>0</v>
      </c>
      <c r="AB40" s="922">
        <f t="shared" si="13"/>
        <v>0</v>
      </c>
      <c r="AC40" s="922">
        <f t="shared" si="13"/>
        <v>0</v>
      </c>
      <c r="AD40" s="922">
        <f t="shared" si="13"/>
        <v>0</v>
      </c>
      <c r="AE40" s="922">
        <f t="shared" si="13"/>
        <v>0</v>
      </c>
      <c r="AF40" s="922">
        <f t="shared" si="13"/>
        <v>0</v>
      </c>
      <c r="AG40" s="922">
        <f t="shared" si="13"/>
        <v>0</v>
      </c>
      <c r="AH40" s="922">
        <f t="shared" si="13"/>
        <v>0</v>
      </c>
      <c r="AI40" s="923">
        <f t="shared" si="13"/>
        <v>0</v>
      </c>
      <c r="AJ40" s="183"/>
      <c r="AK40" s="924"/>
      <c r="AL40" s="13"/>
      <c r="AM40" s="181"/>
      <c r="AN40" s="182"/>
    </row>
    <row r="41" spans="1:46" s="37" customFormat="1" x14ac:dyDescent="0.2">
      <c r="A41" s="148"/>
      <c r="B41" s="1066" t="str">
        <f>ctArbeitsgebiete!A9</f>
        <v>A01</v>
      </c>
      <c r="C41" s="1067" t="str">
        <f>IF(ctArbeitsgebiete!B9&lt;&gt;"",ctArbeitsgebiete!B9,"")</f>
        <v/>
      </c>
      <c r="D41" s="1068"/>
      <c r="E41" s="1069"/>
      <c r="F41" s="1070"/>
      <c r="G41" s="1070"/>
      <c r="H41" s="1070"/>
      <c r="I41" s="1070"/>
      <c r="J41" s="1070"/>
      <c r="K41" s="1070"/>
      <c r="L41" s="1070"/>
      <c r="M41" s="1070"/>
      <c r="N41" s="1070"/>
      <c r="O41" s="1070"/>
      <c r="P41" s="1070"/>
      <c r="Q41" s="1070"/>
      <c r="R41" s="1070"/>
      <c r="S41" s="1070"/>
      <c r="T41" s="1070"/>
      <c r="U41" s="1070"/>
      <c r="V41" s="1070"/>
      <c r="W41" s="1070"/>
      <c r="X41" s="1070"/>
      <c r="Y41" s="1070"/>
      <c r="Z41" s="1070"/>
      <c r="AA41" s="1070"/>
      <c r="AB41" s="1070"/>
      <c r="AC41" s="1070"/>
      <c r="AD41" s="1070"/>
      <c r="AE41" s="1070"/>
      <c r="AF41" s="1070"/>
      <c r="AG41" s="1070"/>
      <c r="AH41" s="1070"/>
      <c r="AI41" s="1071"/>
      <c r="AJ41" s="1072">
        <f>SUM(E41:AI41)</f>
        <v>0</v>
      </c>
      <c r="AK41" s="152"/>
      <c r="AL41" s="146"/>
      <c r="AM41" s="147"/>
      <c r="AN41" s="147"/>
      <c r="AO41" s="147"/>
      <c r="AP41" s="147"/>
      <c r="AQ41" s="147"/>
      <c r="AR41" s="147"/>
      <c r="AS41" s="88"/>
      <c r="AT41" s="34"/>
    </row>
    <row r="42" spans="1:46" x14ac:dyDescent="0.2">
      <c r="A42" s="165"/>
      <c r="B42" s="185" t="str">
        <f>ctArbeitsgebiete!A10</f>
        <v>A02</v>
      </c>
      <c r="C42" s="186" t="str">
        <f>IF(ctArbeitsgebiete!B10&lt;&gt;"",ctArbeitsgebiete!B10,"")</f>
        <v/>
      </c>
      <c r="D42" s="187"/>
      <c r="E42" s="913"/>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322"/>
      <c r="AJ42" s="188">
        <f t="shared" ref="AJ42:AJ84" si="14">SUM(E42:AI42)</f>
        <v>0</v>
      </c>
      <c r="AK42" s="152"/>
      <c r="AL42" s="113"/>
      <c r="AM42" s="89"/>
      <c r="AN42" s="89"/>
      <c r="AO42" s="89"/>
      <c r="AP42" s="89"/>
      <c r="AQ42" s="89"/>
      <c r="AR42" s="89"/>
      <c r="AT42" s="88"/>
    </row>
    <row r="43" spans="1:46" x14ac:dyDescent="0.2">
      <c r="A43" s="165"/>
      <c r="B43" s="185" t="str">
        <f>ctArbeitsgebiete!A11</f>
        <v>A03</v>
      </c>
      <c r="C43" s="186" t="str">
        <f>IF(ctArbeitsgebiete!B11&lt;&gt;"",ctArbeitsgebiete!B11,"")</f>
        <v/>
      </c>
      <c r="D43" s="187"/>
      <c r="E43" s="913"/>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22"/>
      <c r="AJ43" s="188">
        <f t="shared" si="14"/>
        <v>0</v>
      </c>
      <c r="AK43" s="152"/>
      <c r="AL43" s="113"/>
      <c r="AM43" s="89"/>
      <c r="AN43" s="89"/>
      <c r="AO43" s="89"/>
      <c r="AP43" s="89"/>
      <c r="AQ43" s="89"/>
      <c r="AR43" s="89"/>
    </row>
    <row r="44" spans="1:46" x14ac:dyDescent="0.2">
      <c r="A44" s="165"/>
      <c r="B44" s="185" t="str">
        <f>ctArbeitsgebiete!A12</f>
        <v>A04</v>
      </c>
      <c r="C44" s="186" t="str">
        <f>IF(ctArbeitsgebiete!B12&lt;&gt;"",ctArbeitsgebiete!B12,"")</f>
        <v/>
      </c>
      <c r="D44" s="187"/>
      <c r="E44" s="913"/>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322"/>
      <c r="AJ44" s="188">
        <f t="shared" si="14"/>
        <v>0</v>
      </c>
      <c r="AK44" s="152"/>
      <c r="AL44" s="113"/>
      <c r="AM44" s="89"/>
      <c r="AN44" s="89"/>
      <c r="AO44" s="89"/>
      <c r="AP44" s="89"/>
      <c r="AQ44" s="89"/>
      <c r="AR44" s="89"/>
    </row>
    <row r="45" spans="1:46" x14ac:dyDescent="0.2">
      <c r="A45" s="165"/>
      <c r="B45" s="185" t="str">
        <f>ctArbeitsgebiete!A13</f>
        <v>A05</v>
      </c>
      <c r="C45" s="186" t="str">
        <f>IF(ctArbeitsgebiete!B13&lt;&gt;"",ctArbeitsgebiete!B13,"")</f>
        <v/>
      </c>
      <c r="D45" s="187"/>
      <c r="E45" s="913"/>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322"/>
      <c r="AJ45" s="188">
        <f t="shared" si="14"/>
        <v>0</v>
      </c>
      <c r="AK45" s="152"/>
      <c r="AL45" s="113"/>
      <c r="AM45" s="89"/>
      <c r="AN45" s="89"/>
      <c r="AO45" s="89"/>
      <c r="AP45" s="89"/>
      <c r="AQ45" s="89"/>
      <c r="AR45" s="89"/>
    </row>
    <row r="46" spans="1:46" x14ac:dyDescent="0.2">
      <c r="A46" s="165"/>
      <c r="B46" s="185" t="str">
        <f>ctArbeitsgebiete!A14</f>
        <v>A06</v>
      </c>
      <c r="C46" s="186" t="str">
        <f>IF(ctArbeitsgebiete!B14&lt;&gt;"",ctArbeitsgebiete!B14,"")</f>
        <v/>
      </c>
      <c r="D46" s="187"/>
      <c r="E46" s="913"/>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322"/>
      <c r="AJ46" s="188">
        <f t="shared" si="14"/>
        <v>0</v>
      </c>
      <c r="AK46" s="152"/>
      <c r="AL46" s="113"/>
      <c r="AM46" s="89"/>
      <c r="AN46" s="89"/>
      <c r="AO46" s="89"/>
      <c r="AP46" s="89"/>
      <c r="AQ46" s="89"/>
      <c r="AR46" s="89"/>
    </row>
    <row r="47" spans="1:46" x14ac:dyDescent="0.2">
      <c r="A47" s="165"/>
      <c r="B47" s="185" t="str">
        <f>ctArbeitsgebiete!A15</f>
        <v>A07</v>
      </c>
      <c r="C47" s="186" t="str">
        <f>IF(ctArbeitsgebiete!B15&lt;&gt;"",ctArbeitsgebiete!B15,"")</f>
        <v/>
      </c>
      <c r="D47" s="187"/>
      <c r="E47" s="913"/>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322"/>
      <c r="AJ47" s="188">
        <f t="shared" si="14"/>
        <v>0</v>
      </c>
      <c r="AK47" s="152"/>
      <c r="AL47" s="113"/>
      <c r="AM47" s="89"/>
      <c r="AN47" s="89"/>
      <c r="AO47" s="89"/>
      <c r="AP47" s="89"/>
      <c r="AQ47" s="89"/>
      <c r="AR47" s="89"/>
    </row>
    <row r="48" spans="1:46" x14ac:dyDescent="0.2">
      <c r="A48" s="165"/>
      <c r="B48" s="185" t="str">
        <f>ctArbeitsgebiete!A16</f>
        <v>A08</v>
      </c>
      <c r="C48" s="186" t="str">
        <f>IF(ctArbeitsgebiete!B16&lt;&gt;"",ctArbeitsgebiete!B16,"")</f>
        <v/>
      </c>
      <c r="D48" s="187"/>
      <c r="E48" s="913"/>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322"/>
      <c r="AJ48" s="188">
        <f t="shared" si="14"/>
        <v>0</v>
      </c>
      <c r="AK48" s="152"/>
      <c r="AL48" s="113"/>
      <c r="AM48" s="89"/>
      <c r="AN48" s="89"/>
      <c r="AO48" s="89"/>
      <c r="AP48" s="89"/>
      <c r="AQ48" s="89"/>
      <c r="AR48" s="89"/>
    </row>
    <row r="49" spans="1:44" x14ac:dyDescent="0.2">
      <c r="A49" s="165"/>
      <c r="B49" s="185" t="str">
        <f>ctArbeitsgebiete!A17</f>
        <v>A09</v>
      </c>
      <c r="C49" s="186" t="str">
        <f>IF(ctArbeitsgebiete!B17&lt;&gt;"",ctArbeitsgebiete!B17,"")</f>
        <v/>
      </c>
      <c r="D49" s="187"/>
      <c r="E49" s="913"/>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322"/>
      <c r="AJ49" s="188">
        <f t="shared" si="14"/>
        <v>0</v>
      </c>
      <c r="AK49" s="152"/>
      <c r="AL49" s="113"/>
      <c r="AM49" s="89"/>
      <c r="AN49" s="89"/>
      <c r="AO49" s="89"/>
      <c r="AP49" s="89"/>
      <c r="AQ49" s="89"/>
      <c r="AR49" s="89"/>
    </row>
    <row r="50" spans="1:44" x14ac:dyDescent="0.2">
      <c r="A50" s="165"/>
      <c r="B50" s="185" t="str">
        <f>ctArbeitsgebiete!A18</f>
        <v>A10</v>
      </c>
      <c r="C50" s="186" t="str">
        <f>IF(ctArbeitsgebiete!B18&lt;&gt;"",ctArbeitsgebiete!B18,"")</f>
        <v/>
      </c>
      <c r="D50" s="187"/>
      <c r="E50" s="913"/>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322"/>
      <c r="AJ50" s="188">
        <f t="shared" si="14"/>
        <v>0</v>
      </c>
      <c r="AK50" s="152"/>
      <c r="AL50" s="113"/>
      <c r="AM50" s="89"/>
      <c r="AN50" s="89"/>
      <c r="AO50" s="89"/>
      <c r="AP50" s="89"/>
      <c r="AQ50" s="89"/>
      <c r="AR50" s="89"/>
    </row>
    <row r="51" spans="1:44" x14ac:dyDescent="0.2">
      <c r="A51" s="165"/>
      <c r="B51" s="185" t="str">
        <f>ctArbeitsgebiete!A19</f>
        <v>A11</v>
      </c>
      <c r="C51" s="186" t="str">
        <f>IF(ctArbeitsgebiete!B19&lt;&gt;"",ctArbeitsgebiete!B19,"")</f>
        <v/>
      </c>
      <c r="D51" s="187"/>
      <c r="E51" s="913"/>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322"/>
      <c r="AJ51" s="188">
        <f t="shared" si="14"/>
        <v>0</v>
      </c>
      <c r="AK51" s="152"/>
      <c r="AL51" s="113"/>
      <c r="AM51" s="89"/>
      <c r="AN51" s="89"/>
      <c r="AO51" s="89"/>
      <c r="AP51" s="89"/>
      <c r="AQ51" s="89"/>
      <c r="AR51" s="89"/>
    </row>
    <row r="52" spans="1:44" x14ac:dyDescent="0.2">
      <c r="A52" s="165"/>
      <c r="B52" s="185" t="str">
        <f>ctArbeitsgebiete!A20</f>
        <v>A12</v>
      </c>
      <c r="C52" s="186" t="str">
        <f>IF(ctArbeitsgebiete!B20&lt;&gt;"",ctArbeitsgebiete!B20,"")</f>
        <v/>
      </c>
      <c r="D52" s="187"/>
      <c r="E52" s="913"/>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322"/>
      <c r="AJ52" s="188">
        <f t="shared" si="14"/>
        <v>0</v>
      </c>
      <c r="AK52" s="152"/>
      <c r="AL52" s="113"/>
      <c r="AM52" s="89"/>
      <c r="AN52" s="89"/>
      <c r="AO52" s="89"/>
      <c r="AP52" s="89"/>
      <c r="AQ52" s="89"/>
      <c r="AR52" s="89"/>
    </row>
    <row r="53" spans="1:44" x14ac:dyDescent="0.2">
      <c r="A53" s="165"/>
      <c r="B53" s="185" t="str">
        <f>ctArbeitsgebiete!A21</f>
        <v>A13</v>
      </c>
      <c r="C53" s="186" t="str">
        <f>IF(ctArbeitsgebiete!B21&lt;&gt;"",ctArbeitsgebiete!B21,"")</f>
        <v/>
      </c>
      <c r="D53" s="187"/>
      <c r="E53" s="913"/>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322"/>
      <c r="AJ53" s="188">
        <f t="shared" si="14"/>
        <v>0</v>
      </c>
      <c r="AK53" s="152"/>
      <c r="AL53" s="113"/>
      <c r="AM53" s="89"/>
      <c r="AN53" s="89"/>
      <c r="AO53" s="89"/>
      <c r="AP53" s="89"/>
      <c r="AQ53" s="89"/>
      <c r="AR53" s="89"/>
    </row>
    <row r="54" spans="1:44" x14ac:dyDescent="0.2">
      <c r="A54" s="165"/>
      <c r="B54" s="185" t="str">
        <f>ctArbeitsgebiete!A22</f>
        <v>A14</v>
      </c>
      <c r="C54" s="186" t="str">
        <f>IF(ctArbeitsgebiete!B22&lt;&gt;"",ctArbeitsgebiete!B22,"")</f>
        <v/>
      </c>
      <c r="D54" s="187"/>
      <c r="E54" s="913"/>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322"/>
      <c r="AJ54" s="188">
        <f t="shared" si="14"/>
        <v>0</v>
      </c>
      <c r="AK54" s="152"/>
      <c r="AL54" s="113"/>
      <c r="AM54" s="89"/>
      <c r="AN54" s="89"/>
      <c r="AO54" s="89"/>
      <c r="AP54" s="89"/>
      <c r="AQ54" s="89"/>
      <c r="AR54" s="89"/>
    </row>
    <row r="55" spans="1:44" x14ac:dyDescent="0.2">
      <c r="A55" s="165"/>
      <c r="B55" s="185" t="str">
        <f>ctArbeitsgebiete!A23</f>
        <v>A15</v>
      </c>
      <c r="C55" s="186" t="str">
        <f>IF(ctArbeitsgebiete!B23&lt;&gt;"",ctArbeitsgebiete!B23,"")</f>
        <v/>
      </c>
      <c r="D55" s="187"/>
      <c r="E55" s="913"/>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322"/>
      <c r="AJ55" s="188">
        <f t="shared" si="14"/>
        <v>0</v>
      </c>
      <c r="AK55" s="152"/>
      <c r="AL55" s="113"/>
      <c r="AM55" s="89"/>
      <c r="AN55" s="89"/>
      <c r="AO55" s="89"/>
      <c r="AP55" s="89"/>
      <c r="AQ55" s="89"/>
      <c r="AR55" s="89"/>
    </row>
    <row r="56" spans="1:44" x14ac:dyDescent="0.2">
      <c r="A56" s="165"/>
      <c r="B56" s="189" t="str">
        <f>ctArbeitsgebiete!A24</f>
        <v>A16</v>
      </c>
      <c r="C56" s="190" t="str">
        <f>IF(ctArbeitsgebiete!B24&lt;&gt;"",ctArbeitsgebiete!B24,"")</f>
        <v/>
      </c>
      <c r="D56" s="191"/>
      <c r="E56" s="914"/>
      <c r="F56" s="915"/>
      <c r="G56" s="915"/>
      <c r="H56" s="915"/>
      <c r="I56" s="915"/>
      <c r="J56" s="915"/>
      <c r="K56" s="915"/>
      <c r="L56" s="915"/>
      <c r="M56" s="915"/>
      <c r="N56" s="915"/>
      <c r="O56" s="915"/>
      <c r="P56" s="915"/>
      <c r="Q56" s="915"/>
      <c r="R56" s="915"/>
      <c r="S56" s="915"/>
      <c r="T56" s="915"/>
      <c r="U56" s="915"/>
      <c r="V56" s="915"/>
      <c r="W56" s="915"/>
      <c r="X56" s="915"/>
      <c r="Y56" s="915"/>
      <c r="Z56" s="915"/>
      <c r="AA56" s="915"/>
      <c r="AB56" s="915"/>
      <c r="AC56" s="915"/>
      <c r="AD56" s="915"/>
      <c r="AE56" s="915"/>
      <c r="AF56" s="915"/>
      <c r="AG56" s="915"/>
      <c r="AH56" s="915"/>
      <c r="AI56" s="916"/>
      <c r="AJ56" s="192">
        <f t="shared" si="14"/>
        <v>0</v>
      </c>
      <c r="AK56" s="912"/>
      <c r="AL56" s="113"/>
      <c r="AM56" s="89"/>
      <c r="AN56" s="89"/>
      <c r="AO56" s="89"/>
      <c r="AP56" s="89"/>
      <c r="AQ56" s="89"/>
      <c r="AR56" s="89"/>
    </row>
    <row r="57" spans="1:44" x14ac:dyDescent="0.2">
      <c r="A57" s="165"/>
      <c r="B57" s="1066" t="str">
        <f>ctArbeitsgebiete!D9</f>
        <v>B01</v>
      </c>
      <c r="C57" s="1073" t="str">
        <f>IF(ctArbeitsgebiete!E9&lt;&gt;"",ctArbeitsgebiete!E9,"")</f>
        <v/>
      </c>
      <c r="D57" s="1074" t="str">
        <f>IF(ctArbeitsgebiete!F9&lt;&gt;"",ctArbeitsgebiete!F9,"")</f>
        <v/>
      </c>
      <c r="E57" s="1069"/>
      <c r="F57" s="1070"/>
      <c r="G57" s="1070"/>
      <c r="H57" s="1070"/>
      <c r="I57" s="1070"/>
      <c r="J57" s="1070"/>
      <c r="K57" s="1070"/>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0"/>
      <c r="AH57" s="1070"/>
      <c r="AI57" s="1071"/>
      <c r="AJ57" s="1075">
        <f t="shared" si="14"/>
        <v>0</v>
      </c>
      <c r="AK57" s="1060"/>
      <c r="AL57" s="113"/>
      <c r="AM57" s="89"/>
      <c r="AN57" s="89"/>
      <c r="AO57" s="89"/>
      <c r="AP57" s="89"/>
      <c r="AQ57" s="89"/>
      <c r="AR57" s="89"/>
    </row>
    <row r="58" spans="1:44" x14ac:dyDescent="0.2">
      <c r="A58" s="165"/>
      <c r="B58" s="185" t="str">
        <f>ctArbeitsgebiete!D10</f>
        <v>B02</v>
      </c>
      <c r="C58" s="193" t="str">
        <f>IF(ctArbeitsgebiete!E10&lt;&gt;"",ctArbeitsgebiete!E10,"")</f>
        <v/>
      </c>
      <c r="D58" s="194"/>
      <c r="E58" s="913"/>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322"/>
      <c r="AJ58" s="195">
        <f t="shared" si="14"/>
        <v>0</v>
      </c>
      <c r="AK58" s="152"/>
      <c r="AL58" s="113"/>
      <c r="AM58" s="89"/>
      <c r="AN58" s="89"/>
      <c r="AO58" s="89"/>
      <c r="AP58" s="89"/>
      <c r="AQ58" s="89"/>
      <c r="AR58" s="89"/>
    </row>
    <row r="59" spans="1:44" x14ac:dyDescent="0.2">
      <c r="A59" s="165"/>
      <c r="B59" s="185" t="str">
        <f>ctArbeitsgebiete!D11</f>
        <v>B03</v>
      </c>
      <c r="C59" s="193" t="str">
        <f>IF(ctArbeitsgebiete!E11&lt;&gt;"",ctArbeitsgebiete!E11,"")</f>
        <v/>
      </c>
      <c r="D59" s="194"/>
      <c r="E59" s="913"/>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322"/>
      <c r="AJ59" s="195">
        <f t="shared" si="14"/>
        <v>0</v>
      </c>
      <c r="AK59" s="152"/>
      <c r="AL59" s="113"/>
      <c r="AM59" s="89"/>
      <c r="AN59" s="89"/>
      <c r="AO59" s="89"/>
      <c r="AP59" s="89"/>
      <c r="AQ59" s="89"/>
      <c r="AR59" s="89"/>
    </row>
    <row r="60" spans="1:44" x14ac:dyDescent="0.2">
      <c r="A60" s="165"/>
      <c r="B60" s="185" t="str">
        <f>ctArbeitsgebiete!D12</f>
        <v>B04</v>
      </c>
      <c r="C60" s="193" t="str">
        <f>IF(ctArbeitsgebiete!E12&lt;&gt;"",ctArbeitsgebiete!E12,"")</f>
        <v/>
      </c>
      <c r="D60" s="194"/>
      <c r="E60" s="913"/>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322"/>
      <c r="AJ60" s="195">
        <f t="shared" si="14"/>
        <v>0</v>
      </c>
      <c r="AK60" s="152"/>
      <c r="AL60" s="113"/>
      <c r="AM60" s="89"/>
      <c r="AN60" s="89"/>
      <c r="AO60" s="89"/>
      <c r="AP60" s="89"/>
      <c r="AQ60" s="89"/>
      <c r="AR60" s="89"/>
    </row>
    <row r="61" spans="1:44" x14ac:dyDescent="0.2">
      <c r="A61" s="165"/>
      <c r="B61" s="185" t="str">
        <f>ctArbeitsgebiete!D13</f>
        <v>B05</v>
      </c>
      <c r="C61" s="193" t="str">
        <f>IF(ctArbeitsgebiete!E13&lt;&gt;"",ctArbeitsgebiete!E13,"")</f>
        <v/>
      </c>
      <c r="D61" s="194"/>
      <c r="E61" s="913"/>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322"/>
      <c r="AJ61" s="195">
        <f t="shared" si="14"/>
        <v>0</v>
      </c>
      <c r="AK61" s="152"/>
      <c r="AL61" s="113"/>
      <c r="AM61" s="89"/>
      <c r="AN61" s="89"/>
      <c r="AO61" s="89"/>
      <c r="AP61" s="89"/>
      <c r="AQ61" s="89"/>
      <c r="AR61" s="89"/>
    </row>
    <row r="62" spans="1:44" x14ac:dyDescent="0.2">
      <c r="A62" s="165"/>
      <c r="B62" s="185" t="str">
        <f>ctArbeitsgebiete!D14</f>
        <v>B06</v>
      </c>
      <c r="C62" s="193" t="str">
        <f>IF(ctArbeitsgebiete!E14&lt;&gt;"",ctArbeitsgebiete!E14,"")</f>
        <v/>
      </c>
      <c r="D62" s="194"/>
      <c r="E62" s="913"/>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322"/>
      <c r="AJ62" s="195">
        <f t="shared" si="14"/>
        <v>0</v>
      </c>
      <c r="AK62" s="152"/>
      <c r="AL62" s="113"/>
      <c r="AM62" s="89"/>
      <c r="AN62" s="89"/>
      <c r="AO62" s="89"/>
      <c r="AP62" s="89"/>
      <c r="AQ62" s="89"/>
      <c r="AR62" s="89"/>
    </row>
    <row r="63" spans="1:44" x14ac:dyDescent="0.2">
      <c r="A63" s="165"/>
      <c r="B63" s="185" t="str">
        <f>ctArbeitsgebiete!D15</f>
        <v>B07</v>
      </c>
      <c r="C63" s="193" t="str">
        <f>IF(ctArbeitsgebiete!E15&lt;&gt;"",ctArbeitsgebiete!E15,"")</f>
        <v/>
      </c>
      <c r="D63" s="194"/>
      <c r="E63" s="913"/>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322"/>
      <c r="AJ63" s="195">
        <f t="shared" si="14"/>
        <v>0</v>
      </c>
      <c r="AK63" s="152"/>
      <c r="AL63" s="113"/>
      <c r="AM63" s="89"/>
      <c r="AN63" s="89"/>
      <c r="AO63" s="89"/>
      <c r="AP63" s="89"/>
      <c r="AQ63" s="89"/>
      <c r="AR63" s="89"/>
    </row>
    <row r="64" spans="1:44" x14ac:dyDescent="0.2">
      <c r="A64" s="165"/>
      <c r="B64" s="185" t="str">
        <f>ctArbeitsgebiete!D16</f>
        <v>B08</v>
      </c>
      <c r="C64" s="193" t="str">
        <f>IF(ctArbeitsgebiete!E16&lt;&gt;"",ctArbeitsgebiete!E16,"")</f>
        <v/>
      </c>
      <c r="D64" s="194"/>
      <c r="E64" s="913"/>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322"/>
      <c r="AJ64" s="195">
        <f t="shared" si="14"/>
        <v>0</v>
      </c>
      <c r="AK64" s="152"/>
      <c r="AL64" s="113"/>
      <c r="AM64" s="89"/>
      <c r="AN64" s="89"/>
      <c r="AO64" s="89"/>
      <c r="AP64" s="89"/>
      <c r="AQ64" s="89"/>
      <c r="AR64" s="89"/>
    </row>
    <row r="65" spans="1:44" x14ac:dyDescent="0.2">
      <c r="A65" s="165"/>
      <c r="B65" s="185" t="str">
        <f>ctArbeitsgebiete!D17</f>
        <v>B09</v>
      </c>
      <c r="C65" s="193" t="str">
        <f>IF(ctArbeitsgebiete!E17&lt;&gt;"",ctArbeitsgebiete!E17,"")</f>
        <v/>
      </c>
      <c r="D65" s="194"/>
      <c r="E65" s="913"/>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322"/>
      <c r="AJ65" s="195">
        <f t="shared" si="14"/>
        <v>0</v>
      </c>
      <c r="AK65" s="152"/>
      <c r="AL65" s="113"/>
      <c r="AM65" s="89"/>
      <c r="AN65" s="89"/>
      <c r="AO65" s="89"/>
      <c r="AP65" s="89"/>
      <c r="AQ65" s="89"/>
      <c r="AR65" s="89"/>
    </row>
    <row r="66" spans="1:44" x14ac:dyDescent="0.2">
      <c r="A66" s="165"/>
      <c r="B66" s="185" t="str">
        <f>ctArbeitsgebiete!D18</f>
        <v>B10</v>
      </c>
      <c r="C66" s="193" t="str">
        <f>IF(ctArbeitsgebiete!E18&lt;&gt;"",ctArbeitsgebiete!E18,"")</f>
        <v/>
      </c>
      <c r="D66" s="194"/>
      <c r="E66" s="913"/>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322"/>
      <c r="AJ66" s="195">
        <f t="shared" si="14"/>
        <v>0</v>
      </c>
      <c r="AK66" s="152"/>
      <c r="AL66" s="113"/>
      <c r="AM66" s="89"/>
      <c r="AN66" s="89"/>
      <c r="AO66" s="89"/>
      <c r="AP66" s="89"/>
      <c r="AQ66" s="89"/>
      <c r="AR66" s="89"/>
    </row>
    <row r="67" spans="1:44" x14ac:dyDescent="0.2">
      <c r="A67" s="165"/>
      <c r="B67" s="185" t="str">
        <f>ctArbeitsgebiete!D19</f>
        <v>B11</v>
      </c>
      <c r="C67" s="193" t="str">
        <f>IF(ctArbeitsgebiete!E19&lt;&gt;"",ctArbeitsgebiete!E19,"")</f>
        <v/>
      </c>
      <c r="D67" s="194"/>
      <c r="E67" s="913"/>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322"/>
      <c r="AJ67" s="195">
        <f t="shared" si="14"/>
        <v>0</v>
      </c>
      <c r="AK67" s="152"/>
      <c r="AL67" s="113"/>
      <c r="AM67" s="89"/>
      <c r="AN67" s="89"/>
      <c r="AO67" s="89"/>
      <c r="AP67" s="89"/>
      <c r="AQ67" s="89"/>
      <c r="AR67" s="89"/>
    </row>
    <row r="68" spans="1:44" x14ac:dyDescent="0.2">
      <c r="A68" s="165"/>
      <c r="B68" s="189" t="str">
        <f>ctArbeitsgebiete!D20</f>
        <v>B12</v>
      </c>
      <c r="C68" s="196" t="str">
        <f>IF(ctArbeitsgebiete!E20&lt;&gt;"",ctArbeitsgebiete!E20,"")</f>
        <v/>
      </c>
      <c r="D68" s="197"/>
      <c r="E68" s="914"/>
      <c r="F68" s="915"/>
      <c r="G68" s="915"/>
      <c r="H68" s="915"/>
      <c r="I68" s="915"/>
      <c r="J68" s="915"/>
      <c r="K68" s="915"/>
      <c r="L68" s="915"/>
      <c r="M68" s="915"/>
      <c r="N68" s="915"/>
      <c r="O68" s="915"/>
      <c r="P68" s="915"/>
      <c r="Q68" s="915"/>
      <c r="R68" s="915"/>
      <c r="S68" s="915"/>
      <c r="T68" s="915"/>
      <c r="U68" s="915"/>
      <c r="V68" s="915"/>
      <c r="W68" s="915"/>
      <c r="X68" s="915"/>
      <c r="Y68" s="915"/>
      <c r="Z68" s="915"/>
      <c r="AA68" s="915"/>
      <c r="AB68" s="915"/>
      <c r="AC68" s="915"/>
      <c r="AD68" s="915"/>
      <c r="AE68" s="915"/>
      <c r="AF68" s="915"/>
      <c r="AG68" s="915"/>
      <c r="AH68" s="915"/>
      <c r="AI68" s="916"/>
      <c r="AJ68" s="198">
        <f t="shared" si="14"/>
        <v>0</v>
      </c>
      <c r="AK68" s="912"/>
      <c r="AL68" s="113"/>
      <c r="AM68" s="89"/>
      <c r="AN68" s="89"/>
      <c r="AO68" s="89"/>
      <c r="AP68" s="89"/>
      <c r="AQ68" s="89"/>
      <c r="AR68" s="89"/>
    </row>
    <row r="69" spans="1:44" x14ac:dyDescent="0.2">
      <c r="A69" s="165"/>
      <c r="B69" s="1066" t="str">
        <f>ctArbeitsgebiete!G9</f>
        <v>C01</v>
      </c>
      <c r="C69" s="1076" t="str">
        <f>IF(ctArbeitsgebiete!H9&lt;&gt;"",ctArbeitsgebiete!H9,"")</f>
        <v/>
      </c>
      <c r="D69" s="1077"/>
      <c r="E69" s="1069"/>
      <c r="F69" s="1070"/>
      <c r="G69" s="1070"/>
      <c r="H69" s="1070"/>
      <c r="I69" s="1070"/>
      <c r="J69" s="1070"/>
      <c r="K69" s="1070"/>
      <c r="L69" s="1070"/>
      <c r="M69" s="1070"/>
      <c r="N69" s="1070"/>
      <c r="O69" s="1070"/>
      <c r="P69" s="1070"/>
      <c r="Q69" s="1070"/>
      <c r="R69" s="1070"/>
      <c r="S69" s="1070"/>
      <c r="T69" s="1070"/>
      <c r="U69" s="1070"/>
      <c r="V69" s="1070"/>
      <c r="W69" s="1070"/>
      <c r="X69" s="1070"/>
      <c r="Y69" s="1070"/>
      <c r="Z69" s="1070"/>
      <c r="AA69" s="1070"/>
      <c r="AB69" s="1070"/>
      <c r="AC69" s="1070"/>
      <c r="AD69" s="1070"/>
      <c r="AE69" s="1070"/>
      <c r="AF69" s="1070"/>
      <c r="AG69" s="1070"/>
      <c r="AH69" s="1070"/>
      <c r="AI69" s="1071"/>
      <c r="AJ69" s="1078">
        <f t="shared" si="14"/>
        <v>0</v>
      </c>
      <c r="AK69" s="1060"/>
      <c r="AL69" s="113"/>
      <c r="AM69" s="89"/>
      <c r="AN69" s="89"/>
      <c r="AO69" s="89"/>
      <c r="AP69" s="89"/>
      <c r="AQ69" s="89"/>
      <c r="AR69" s="89"/>
    </row>
    <row r="70" spans="1:44" x14ac:dyDescent="0.2">
      <c r="A70" s="165"/>
      <c r="B70" s="185" t="str">
        <f>ctArbeitsgebiete!G10</f>
        <v>C02</v>
      </c>
      <c r="C70" s="199" t="str">
        <f>IF(ctArbeitsgebiete!H10&lt;&gt;"",ctArbeitsgebiete!H10,"")</f>
        <v/>
      </c>
      <c r="D70" s="200"/>
      <c r="E70" s="913"/>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322"/>
      <c r="AJ70" s="201">
        <f t="shared" si="14"/>
        <v>0</v>
      </c>
      <c r="AK70" s="152"/>
      <c r="AL70" s="113"/>
      <c r="AM70" s="89"/>
      <c r="AN70" s="89"/>
      <c r="AO70" s="89"/>
      <c r="AP70" s="89"/>
      <c r="AQ70" s="89"/>
      <c r="AR70" s="89"/>
    </row>
    <row r="71" spans="1:44" x14ac:dyDescent="0.2">
      <c r="A71" s="165"/>
      <c r="B71" s="185" t="str">
        <f>ctArbeitsgebiete!G11</f>
        <v>C03</v>
      </c>
      <c r="C71" s="199" t="str">
        <f>IF(ctArbeitsgebiete!H11&lt;&gt;"",ctArbeitsgebiete!H11,"")</f>
        <v/>
      </c>
      <c r="D71" s="200"/>
      <c r="E71" s="913"/>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322"/>
      <c r="AJ71" s="201">
        <f t="shared" si="14"/>
        <v>0</v>
      </c>
      <c r="AK71" s="152"/>
      <c r="AL71" s="113"/>
      <c r="AM71" s="89"/>
      <c r="AN71" s="89"/>
      <c r="AO71" s="89"/>
      <c r="AP71" s="89"/>
      <c r="AQ71" s="89"/>
      <c r="AR71" s="89"/>
    </row>
    <row r="72" spans="1:44" x14ac:dyDescent="0.2">
      <c r="A72" s="165"/>
      <c r="B72" s="185" t="str">
        <f>ctArbeitsgebiete!G12</f>
        <v>C04</v>
      </c>
      <c r="C72" s="199" t="str">
        <f>IF(ctArbeitsgebiete!H12&lt;&gt;"",ctArbeitsgebiete!H12,"")</f>
        <v/>
      </c>
      <c r="D72" s="200"/>
      <c r="E72" s="913"/>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322"/>
      <c r="AJ72" s="201">
        <f t="shared" si="14"/>
        <v>0</v>
      </c>
      <c r="AK72" s="152"/>
      <c r="AL72" s="113"/>
      <c r="AM72" s="89"/>
      <c r="AN72" s="89"/>
      <c r="AO72" s="89"/>
      <c r="AP72" s="89"/>
      <c r="AQ72" s="89"/>
      <c r="AR72" s="89"/>
    </row>
    <row r="73" spans="1:44" x14ac:dyDescent="0.2">
      <c r="A73" s="165"/>
      <c r="B73" s="185" t="str">
        <f>ctArbeitsgebiete!G13</f>
        <v>C05</v>
      </c>
      <c r="C73" s="199" t="str">
        <f>IF(ctArbeitsgebiete!H13&lt;&gt;"",ctArbeitsgebiete!H13,"")</f>
        <v/>
      </c>
      <c r="D73" s="200"/>
      <c r="E73" s="913"/>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322"/>
      <c r="AJ73" s="201">
        <f t="shared" si="14"/>
        <v>0</v>
      </c>
      <c r="AK73" s="152"/>
      <c r="AL73" s="113"/>
      <c r="AM73" s="89"/>
      <c r="AN73" s="89"/>
      <c r="AO73" s="89"/>
      <c r="AP73" s="89"/>
      <c r="AQ73" s="89"/>
      <c r="AR73" s="89"/>
    </row>
    <row r="74" spans="1:44" x14ac:dyDescent="0.2">
      <c r="A74" s="165"/>
      <c r="B74" s="185" t="str">
        <f>ctArbeitsgebiete!G14</f>
        <v>C06</v>
      </c>
      <c r="C74" s="199" t="str">
        <f>IF(ctArbeitsgebiete!H14&lt;&gt;"",ctArbeitsgebiete!H14,"")</f>
        <v/>
      </c>
      <c r="D74" s="200"/>
      <c r="E74" s="913"/>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322"/>
      <c r="AJ74" s="201">
        <f t="shared" si="14"/>
        <v>0</v>
      </c>
      <c r="AK74" s="152"/>
      <c r="AL74" s="113"/>
      <c r="AM74" s="89"/>
      <c r="AN74" s="89"/>
      <c r="AO74" s="89"/>
      <c r="AP74" s="89"/>
      <c r="AQ74" s="89"/>
      <c r="AR74" s="89"/>
    </row>
    <row r="75" spans="1:44" x14ac:dyDescent="0.2">
      <c r="A75" s="165"/>
      <c r="B75" s="185" t="str">
        <f>ctArbeitsgebiete!G15</f>
        <v>C07</v>
      </c>
      <c r="C75" s="199" t="str">
        <f>IF(ctArbeitsgebiete!H15&lt;&gt;"",ctArbeitsgebiete!H15,"")</f>
        <v/>
      </c>
      <c r="D75" s="200"/>
      <c r="E75" s="913"/>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322"/>
      <c r="AJ75" s="201">
        <f t="shared" si="14"/>
        <v>0</v>
      </c>
      <c r="AK75" s="152"/>
      <c r="AL75" s="113"/>
      <c r="AM75" s="89"/>
      <c r="AN75" s="89"/>
      <c r="AO75" s="89"/>
      <c r="AP75" s="89"/>
      <c r="AQ75" s="89"/>
      <c r="AR75" s="89"/>
    </row>
    <row r="76" spans="1:44" x14ac:dyDescent="0.2">
      <c r="A76" s="165"/>
      <c r="B76" s="189" t="str">
        <f>ctArbeitsgebiete!G16</f>
        <v>C08</v>
      </c>
      <c r="C76" s="202" t="str">
        <f>IF(ctArbeitsgebiete!H16&lt;&gt;"",ctArbeitsgebiete!H16,"")</f>
        <v/>
      </c>
      <c r="D76" s="203"/>
      <c r="E76" s="914"/>
      <c r="F76" s="915"/>
      <c r="G76" s="915"/>
      <c r="H76" s="915"/>
      <c r="I76" s="915"/>
      <c r="J76" s="915"/>
      <c r="K76" s="915"/>
      <c r="L76" s="915"/>
      <c r="M76" s="915"/>
      <c r="N76" s="915"/>
      <c r="O76" s="915"/>
      <c r="P76" s="915"/>
      <c r="Q76" s="915"/>
      <c r="R76" s="915"/>
      <c r="S76" s="915"/>
      <c r="T76" s="915"/>
      <c r="U76" s="915"/>
      <c r="V76" s="915"/>
      <c r="W76" s="915"/>
      <c r="X76" s="915"/>
      <c r="Y76" s="915"/>
      <c r="Z76" s="915"/>
      <c r="AA76" s="915"/>
      <c r="AB76" s="915"/>
      <c r="AC76" s="915"/>
      <c r="AD76" s="915"/>
      <c r="AE76" s="915"/>
      <c r="AF76" s="915"/>
      <c r="AG76" s="915"/>
      <c r="AH76" s="915"/>
      <c r="AI76" s="916"/>
      <c r="AJ76" s="204">
        <f t="shared" si="14"/>
        <v>0</v>
      </c>
      <c r="AK76" s="912"/>
      <c r="AL76" s="113"/>
      <c r="AM76" s="89"/>
      <c r="AN76" s="89"/>
      <c r="AO76" s="89"/>
      <c r="AP76" s="89"/>
      <c r="AQ76" s="89"/>
      <c r="AR76" s="89"/>
    </row>
    <row r="77" spans="1:44" x14ac:dyDescent="0.2">
      <c r="A77" s="165"/>
      <c r="B77" s="1066" t="str">
        <f>ctArbeitsgebiete!J9</f>
        <v>D01</v>
      </c>
      <c r="C77" s="1079" t="str">
        <f>IF(ctArbeitsgebiete!K9&lt;&gt;"",ctArbeitsgebiete!K9,"")</f>
        <v>DAG</v>
      </c>
      <c r="D77" s="1080"/>
      <c r="E77" s="1069"/>
      <c r="F77" s="1070"/>
      <c r="G77" s="1070"/>
      <c r="H77" s="1070"/>
      <c r="I77" s="1070"/>
      <c r="J77" s="1070"/>
      <c r="K77" s="1070"/>
      <c r="L77" s="1070"/>
      <c r="M77" s="1070"/>
      <c r="N77" s="1070"/>
      <c r="O77" s="1070"/>
      <c r="P77" s="1070"/>
      <c r="Q77" s="1070"/>
      <c r="R77" s="1070"/>
      <c r="S77" s="1070"/>
      <c r="T77" s="1070"/>
      <c r="U77" s="1070"/>
      <c r="V77" s="1070"/>
      <c r="W77" s="1070"/>
      <c r="X77" s="1070"/>
      <c r="Y77" s="1070"/>
      <c r="Z77" s="1070"/>
      <c r="AA77" s="1070"/>
      <c r="AB77" s="1070"/>
      <c r="AC77" s="1070"/>
      <c r="AD77" s="1070"/>
      <c r="AE77" s="1070"/>
      <c r="AF77" s="1070"/>
      <c r="AG77" s="1070"/>
      <c r="AH77" s="1070"/>
      <c r="AI77" s="1071"/>
      <c r="AJ77" s="1059">
        <f t="shared" si="14"/>
        <v>0</v>
      </c>
      <c r="AK77" s="1060"/>
      <c r="AL77" s="113"/>
      <c r="AM77" s="89"/>
      <c r="AN77" s="89"/>
      <c r="AO77" s="89"/>
      <c r="AP77" s="89"/>
      <c r="AQ77" s="89"/>
      <c r="AR77" s="89"/>
    </row>
    <row r="78" spans="1:44" x14ac:dyDescent="0.2">
      <c r="A78" s="165"/>
      <c r="B78" s="185" t="str">
        <f>ctArbeitsgebiete!J10</f>
        <v>D02</v>
      </c>
      <c r="C78" s="205" t="str">
        <f>IF(ctArbeitsgebiete!K10&lt;&gt;"",ctArbeitsgebiete!K10,"")</f>
        <v>Betriebsausflug</v>
      </c>
      <c r="D78" s="206"/>
      <c r="E78" s="913"/>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322"/>
      <c r="AJ78" s="174">
        <f t="shared" si="14"/>
        <v>0</v>
      </c>
      <c r="AK78" s="152"/>
      <c r="AL78" s="113"/>
      <c r="AM78" s="89"/>
      <c r="AN78" s="89"/>
      <c r="AO78" s="89"/>
      <c r="AP78" s="89"/>
      <c r="AQ78" s="89"/>
      <c r="AR78" s="89"/>
    </row>
    <row r="79" spans="1:44" x14ac:dyDescent="0.2">
      <c r="A79" s="165"/>
      <c r="B79" s="185" t="str">
        <f>ctArbeitsgebiete!J11</f>
        <v>D03</v>
      </c>
      <c r="C79" s="205" t="str">
        <f>IF(ctArbeitsgebiete!K11&lt;&gt;"",ctArbeitsgebiete!K11,"")</f>
        <v/>
      </c>
      <c r="D79" s="206"/>
      <c r="E79" s="913"/>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322"/>
      <c r="AJ79" s="174">
        <f t="shared" si="14"/>
        <v>0</v>
      </c>
      <c r="AK79" s="152"/>
      <c r="AL79" s="113"/>
      <c r="AM79" s="89"/>
      <c r="AN79" s="89"/>
      <c r="AO79" s="89"/>
      <c r="AP79" s="89"/>
      <c r="AQ79" s="89"/>
      <c r="AR79" s="89"/>
    </row>
    <row r="80" spans="1:44" x14ac:dyDescent="0.2">
      <c r="A80" s="165"/>
      <c r="B80" s="185" t="str">
        <f>ctArbeitsgebiete!J12</f>
        <v>D04</v>
      </c>
      <c r="C80" s="205" t="str">
        <f>IF(ctArbeitsgebiete!K12&lt;&gt;"",ctArbeitsgebiete!K12,"")</f>
        <v/>
      </c>
      <c r="D80" s="206"/>
      <c r="E80" s="913"/>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322"/>
      <c r="AJ80" s="174">
        <f t="shared" si="14"/>
        <v>0</v>
      </c>
      <c r="AK80" s="152"/>
      <c r="AL80" s="113"/>
      <c r="AM80" s="89"/>
      <c r="AN80" s="89"/>
      <c r="AO80" s="89"/>
      <c r="AP80" s="89"/>
      <c r="AQ80" s="89"/>
      <c r="AR80" s="89"/>
    </row>
    <row r="81" spans="1:44" x14ac:dyDescent="0.2">
      <c r="A81" s="165"/>
      <c r="B81" s="185" t="str">
        <f>ctArbeitsgebiete!J13</f>
        <v>D05</v>
      </c>
      <c r="C81" s="205" t="str">
        <f>IF(ctArbeitsgebiete!K13&lt;&gt;"",ctArbeitsgebiete!K13,"")</f>
        <v/>
      </c>
      <c r="D81" s="206"/>
      <c r="E81" s="913"/>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322"/>
      <c r="AJ81" s="174">
        <f t="shared" si="14"/>
        <v>0</v>
      </c>
      <c r="AK81" s="152"/>
      <c r="AL81" s="113"/>
      <c r="AM81" s="89"/>
      <c r="AN81" s="89"/>
      <c r="AO81" s="89"/>
      <c r="AP81" s="89"/>
      <c r="AQ81" s="89"/>
      <c r="AR81" s="89"/>
    </row>
    <row r="82" spans="1:44" x14ac:dyDescent="0.2">
      <c r="A82" s="165"/>
      <c r="B82" s="185" t="str">
        <f>ctArbeitsgebiete!J14</f>
        <v>D06</v>
      </c>
      <c r="C82" s="205" t="str">
        <f>IF(ctArbeitsgebiete!K14&lt;&gt;"",ctArbeitsgebiete!K14,"")</f>
        <v/>
      </c>
      <c r="D82" s="206"/>
      <c r="E82" s="913"/>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322"/>
      <c r="AJ82" s="174">
        <f t="shared" si="14"/>
        <v>0</v>
      </c>
      <c r="AK82" s="152"/>
      <c r="AL82" s="113"/>
      <c r="AM82" s="89"/>
      <c r="AN82" s="89"/>
      <c r="AO82" s="89"/>
      <c r="AP82" s="89"/>
      <c r="AQ82" s="89"/>
      <c r="AR82" s="89"/>
    </row>
    <row r="83" spans="1:44" x14ac:dyDescent="0.2">
      <c r="A83" s="165"/>
      <c r="B83" s="185" t="str">
        <f>ctArbeitsgebiete!J15</f>
        <v>D07</v>
      </c>
      <c r="C83" s="205" t="str">
        <f>IF(ctArbeitsgebiete!K15&lt;&gt;"",ctArbeitsgebiete!K15,"")</f>
        <v/>
      </c>
      <c r="D83" s="206"/>
      <c r="E83" s="913"/>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322"/>
      <c r="AJ83" s="174">
        <f t="shared" si="14"/>
        <v>0</v>
      </c>
      <c r="AK83" s="152"/>
      <c r="AL83" s="113"/>
      <c r="AM83" s="89"/>
      <c r="AN83" s="89"/>
      <c r="AO83" s="89"/>
      <c r="AP83" s="89"/>
      <c r="AQ83" s="89"/>
      <c r="AR83" s="89"/>
    </row>
    <row r="84" spans="1:44" ht="13.5" thickBot="1" x14ac:dyDescent="0.25">
      <c r="A84" s="165"/>
      <c r="B84" s="189" t="str">
        <f>ctArbeitsgebiete!J16</f>
        <v>D08</v>
      </c>
      <c r="C84" s="207" t="str">
        <f>IF(ctArbeitsgebiete!K16&lt;&gt;"",ctArbeitsgebiete!K16,"")</f>
        <v/>
      </c>
      <c r="D84" s="208"/>
      <c r="E84" s="925"/>
      <c r="F84" s="926"/>
      <c r="G84" s="926"/>
      <c r="H84" s="926"/>
      <c r="I84" s="926"/>
      <c r="J84" s="926"/>
      <c r="K84" s="926"/>
      <c r="L84" s="926"/>
      <c r="M84" s="926"/>
      <c r="N84" s="926"/>
      <c r="O84" s="926"/>
      <c r="P84" s="926"/>
      <c r="Q84" s="926"/>
      <c r="R84" s="926"/>
      <c r="S84" s="926"/>
      <c r="T84" s="926"/>
      <c r="U84" s="926"/>
      <c r="V84" s="926"/>
      <c r="W84" s="926"/>
      <c r="X84" s="926"/>
      <c r="Y84" s="926"/>
      <c r="Z84" s="926"/>
      <c r="AA84" s="926"/>
      <c r="AB84" s="926"/>
      <c r="AC84" s="926"/>
      <c r="AD84" s="926"/>
      <c r="AE84" s="926"/>
      <c r="AF84" s="926"/>
      <c r="AG84" s="926"/>
      <c r="AH84" s="926"/>
      <c r="AI84" s="927"/>
      <c r="AJ84" s="142">
        <f t="shared" si="14"/>
        <v>0</v>
      </c>
      <c r="AK84" s="912"/>
      <c r="AL84" s="113"/>
      <c r="AM84" s="89"/>
      <c r="AN84" s="89"/>
      <c r="AO84" s="89"/>
      <c r="AP84" s="89"/>
      <c r="AQ84" s="89"/>
      <c r="AR84" s="89"/>
    </row>
    <row r="85" spans="1:44" ht="22.5" hidden="1" customHeight="1" outlineLevel="1" thickBot="1" x14ac:dyDescent="0.25">
      <c r="A85" s="8" t="s">
        <v>424</v>
      </c>
      <c r="B85" s="928"/>
      <c r="C85" s="929" t="s">
        <v>433</v>
      </c>
      <c r="D85" s="930"/>
      <c r="E85" s="931"/>
      <c r="F85" s="932"/>
      <c r="G85" s="932"/>
      <c r="H85" s="932"/>
      <c r="I85" s="932"/>
      <c r="J85" s="932"/>
      <c r="K85" s="932"/>
      <c r="L85" s="932"/>
      <c r="M85" s="932"/>
      <c r="N85" s="932"/>
      <c r="O85" s="932"/>
      <c r="P85" s="932"/>
      <c r="Q85" s="932"/>
      <c r="R85" s="932"/>
      <c r="S85" s="932"/>
      <c r="T85" s="932"/>
      <c r="U85" s="932"/>
      <c r="V85" s="932"/>
      <c r="W85" s="932"/>
      <c r="X85" s="932"/>
      <c r="Y85" s="932"/>
      <c r="Z85" s="932"/>
      <c r="AA85" s="932"/>
      <c r="AB85" s="932"/>
      <c r="AC85" s="932"/>
      <c r="AD85" s="932"/>
      <c r="AE85" s="932"/>
      <c r="AF85" s="932"/>
      <c r="AG85" s="932"/>
      <c r="AH85" s="932"/>
      <c r="AI85" s="933"/>
      <c r="AJ85" s="1081">
        <f>SUM(E85:AI85)</f>
        <v>0</v>
      </c>
      <c r="AK85" s="990">
        <f>ROUND(B85+D85+AJ85,8)</f>
        <v>0</v>
      </c>
      <c r="AL85" s="141" t="s">
        <v>434</v>
      </c>
      <c r="AM85" s="91"/>
      <c r="AN85" s="113"/>
      <c r="AO85" s="89"/>
      <c r="AP85" s="89"/>
      <c r="AQ85" s="89"/>
      <c r="AR85" s="89"/>
    </row>
    <row r="86" spans="1:44" ht="15" hidden="1" customHeight="1" outlineLevel="1" x14ac:dyDescent="0.2">
      <c r="A86" s="8" t="s">
        <v>424</v>
      </c>
      <c r="B86" s="934"/>
      <c r="C86" s="935" t="s">
        <v>435</v>
      </c>
      <c r="D86" s="936"/>
      <c r="E86" s="937"/>
      <c r="F86" s="938"/>
      <c r="G86" s="938"/>
      <c r="H86" s="938"/>
      <c r="I86" s="938"/>
      <c r="J86" s="938"/>
      <c r="K86" s="938"/>
      <c r="L86" s="938"/>
      <c r="M86" s="938"/>
      <c r="N86" s="938"/>
      <c r="O86" s="938"/>
      <c r="P86" s="938"/>
      <c r="Q86" s="938"/>
      <c r="R86" s="938"/>
      <c r="S86" s="938"/>
      <c r="T86" s="938"/>
      <c r="U86" s="938"/>
      <c r="V86" s="938"/>
      <c r="W86" s="938"/>
      <c r="X86" s="938"/>
      <c r="Y86" s="938"/>
      <c r="Z86" s="938"/>
      <c r="AA86" s="938"/>
      <c r="AB86" s="938"/>
      <c r="AC86" s="938"/>
      <c r="AD86" s="938"/>
      <c r="AE86" s="938"/>
      <c r="AF86" s="938"/>
      <c r="AG86" s="938"/>
      <c r="AH86" s="938"/>
      <c r="AI86" s="939"/>
      <c r="AK86" s="210"/>
      <c r="AL86" s="141" t="s">
        <v>437</v>
      </c>
      <c r="AM86" s="89"/>
      <c r="AN86" s="113"/>
      <c r="AO86" s="89"/>
      <c r="AP86" s="89"/>
      <c r="AQ86" s="89"/>
      <c r="AR86" s="89"/>
    </row>
    <row r="87" spans="1:44" ht="15" hidden="1" customHeight="1" outlineLevel="1" x14ac:dyDescent="0.2">
      <c r="A87" s="8" t="s">
        <v>424</v>
      </c>
      <c r="B87" s="934"/>
      <c r="C87" s="934" t="str">
        <f>"Zuschlagsber. = " &amp; Eingabeblatt!$D$7</f>
        <v>Zuschlagsber. = NEIN</v>
      </c>
      <c r="D87" s="936"/>
      <c r="E87" s="940"/>
      <c r="F87" s="941"/>
      <c r="G87" s="941"/>
      <c r="H87" s="941"/>
      <c r="I87" s="941"/>
      <c r="J87" s="941"/>
      <c r="K87" s="941"/>
      <c r="L87" s="941"/>
      <c r="M87" s="941"/>
      <c r="N87" s="941"/>
      <c r="O87" s="941"/>
      <c r="P87" s="941"/>
      <c r="Q87" s="941"/>
      <c r="R87" s="941"/>
      <c r="S87" s="941"/>
      <c r="T87" s="941"/>
      <c r="U87" s="941"/>
      <c r="V87" s="941"/>
      <c r="W87" s="941"/>
      <c r="X87" s="941"/>
      <c r="Y87" s="941"/>
      <c r="Z87" s="941"/>
      <c r="AA87" s="941"/>
      <c r="AB87" s="941"/>
      <c r="AC87" s="941"/>
      <c r="AD87" s="941"/>
      <c r="AE87" s="941"/>
      <c r="AF87" s="941"/>
      <c r="AG87" s="941"/>
      <c r="AH87" s="941"/>
      <c r="AI87" s="942"/>
      <c r="AK87" s="210"/>
      <c r="AL87" s="113"/>
      <c r="AM87" s="113"/>
      <c r="AN87" s="113"/>
      <c r="AO87" s="89"/>
      <c r="AP87" s="89"/>
      <c r="AQ87" s="89"/>
      <c r="AR87" s="89"/>
    </row>
    <row r="88" spans="1:44" hidden="1" outlineLevel="1" collapsed="1" x14ac:dyDescent="0.2">
      <c r="E88" s="323"/>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5"/>
      <c r="AK88" s="211"/>
      <c r="AL88" s="113"/>
      <c r="AM88" s="89"/>
      <c r="AN88" s="113"/>
      <c r="AO88" s="89"/>
      <c r="AP88" s="89"/>
      <c r="AQ88" s="89"/>
      <c r="AR88" s="89"/>
    </row>
    <row r="89" spans="1:44" ht="12.75" hidden="1" customHeight="1" outlineLevel="1" x14ac:dyDescent="0.2">
      <c r="C89" s="212"/>
      <c r="E89" s="326"/>
      <c r="F89" s="324"/>
      <c r="G89" s="324"/>
      <c r="H89" s="324"/>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5"/>
      <c r="AK89" s="210"/>
      <c r="AL89" s="113"/>
      <c r="AM89" s="89"/>
      <c r="AN89" s="89"/>
      <c r="AO89" s="89"/>
      <c r="AP89" s="89"/>
      <c r="AQ89" s="89"/>
      <c r="AR89" s="89"/>
    </row>
    <row r="90" spans="1:44" ht="28.5" hidden="1" customHeight="1" outlineLevel="1" x14ac:dyDescent="0.2">
      <c r="C90" s="213" t="s">
        <v>439</v>
      </c>
      <c r="E90" s="326"/>
      <c r="F90" s="324"/>
      <c r="G90" s="324"/>
      <c r="H90" s="324"/>
      <c r="I90" s="324"/>
      <c r="J90" s="324"/>
      <c r="K90" s="327"/>
      <c r="L90" s="327"/>
      <c r="M90" s="327"/>
      <c r="N90" s="324"/>
      <c r="O90" s="324"/>
      <c r="P90" s="324"/>
      <c r="Q90" s="324"/>
      <c r="R90" s="324"/>
      <c r="S90" s="324"/>
      <c r="T90" s="324"/>
      <c r="U90" s="324"/>
      <c r="V90" s="324"/>
      <c r="W90" s="324"/>
      <c r="X90" s="324"/>
      <c r="Y90" s="324"/>
      <c r="Z90" s="324"/>
      <c r="AA90" s="324"/>
      <c r="AB90" s="324"/>
      <c r="AC90" s="324"/>
      <c r="AD90" s="324"/>
      <c r="AE90" s="324"/>
      <c r="AF90" s="324"/>
      <c r="AG90" s="324"/>
      <c r="AH90" s="324"/>
      <c r="AI90" s="325"/>
      <c r="AK90" s="210"/>
      <c r="AL90" s="113"/>
      <c r="AM90" s="89"/>
      <c r="AN90" s="89"/>
      <c r="AO90" s="89"/>
      <c r="AP90" s="89"/>
      <c r="AQ90" s="89"/>
      <c r="AR90" s="89"/>
    </row>
    <row r="91" spans="1:44" ht="28.5" hidden="1" customHeight="1" outlineLevel="1" thickBot="1" x14ac:dyDescent="0.3">
      <c r="C91" s="214" t="s">
        <v>440</v>
      </c>
      <c r="D91" s="215"/>
      <c r="E91" s="236"/>
      <c r="F91" s="327"/>
      <c r="G91" s="327"/>
      <c r="H91" s="327"/>
      <c r="I91" s="327"/>
      <c r="J91" s="327"/>
      <c r="K91" s="327"/>
      <c r="L91" s="327"/>
      <c r="M91" s="327"/>
      <c r="N91" s="327"/>
      <c r="O91" s="327"/>
      <c r="P91" s="327"/>
      <c r="Q91" s="327"/>
      <c r="R91" s="327"/>
      <c r="S91" s="327"/>
      <c r="T91" s="327"/>
      <c r="U91" s="328"/>
      <c r="V91" s="327"/>
      <c r="W91" s="327"/>
      <c r="X91" s="327"/>
      <c r="Y91" s="327"/>
      <c r="Z91" s="327"/>
      <c r="AA91" s="327"/>
      <c r="AB91" s="327"/>
      <c r="AC91" s="327"/>
      <c r="AD91" s="327"/>
      <c r="AE91" s="327"/>
      <c r="AF91" s="328"/>
      <c r="AG91" s="327"/>
      <c r="AH91" s="943"/>
      <c r="AI91" s="329"/>
      <c r="AJ91" s="88"/>
      <c r="AK91" s="216"/>
      <c r="AL91" s="113"/>
      <c r="AM91" s="89"/>
      <c r="AN91" s="89"/>
      <c r="AO91" s="89"/>
      <c r="AP91" s="89"/>
      <c r="AQ91" s="89"/>
      <c r="AR91" s="89"/>
    </row>
    <row r="92" spans="1:44" ht="28.5" hidden="1" customHeight="1" outlineLevel="1" thickBot="1" x14ac:dyDescent="0.25">
      <c r="C92" s="217" t="s">
        <v>443</v>
      </c>
      <c r="E92" s="326"/>
      <c r="F92" s="324"/>
      <c r="G92" s="324"/>
      <c r="H92" s="324"/>
      <c r="I92" s="330"/>
      <c r="J92" s="324"/>
      <c r="K92" s="327"/>
      <c r="L92" s="327"/>
      <c r="M92" s="327"/>
      <c r="N92" s="324"/>
      <c r="O92" s="324"/>
      <c r="P92" s="324"/>
      <c r="Q92" s="324"/>
      <c r="R92" s="324"/>
      <c r="S92" s="324"/>
      <c r="T92" s="324"/>
      <c r="U92" s="324"/>
      <c r="V92" s="324"/>
      <c r="W92" s="324"/>
      <c r="X92" s="324"/>
      <c r="Y92" s="324"/>
      <c r="Z92" s="324"/>
      <c r="AA92" s="324"/>
      <c r="AB92" s="324"/>
      <c r="AC92" s="324"/>
      <c r="AD92" s="324"/>
      <c r="AE92" s="324"/>
      <c r="AF92" s="324"/>
      <c r="AG92" s="324"/>
      <c r="AH92" s="324"/>
      <c r="AI92" s="325"/>
      <c r="AK92" s="210"/>
      <c r="AL92" s="113"/>
      <c r="AM92" s="89"/>
      <c r="AN92" s="89"/>
      <c r="AO92" s="89"/>
      <c r="AP92" s="89"/>
      <c r="AQ92" s="89"/>
      <c r="AR92" s="89"/>
    </row>
    <row r="93" spans="1:44" ht="28.5" hidden="1" customHeight="1" outlineLevel="1" x14ac:dyDescent="0.2">
      <c r="C93" s="217"/>
      <c r="E93" s="326"/>
      <c r="F93" s="324"/>
      <c r="G93" s="324"/>
      <c r="H93" s="324"/>
      <c r="I93" s="324"/>
      <c r="J93" s="324"/>
      <c r="K93" s="327"/>
      <c r="L93" s="327"/>
      <c r="M93" s="327"/>
      <c r="N93" s="324"/>
      <c r="O93" s="324"/>
      <c r="P93" s="324"/>
      <c r="Q93" s="324"/>
      <c r="R93" s="324"/>
      <c r="S93" s="324"/>
      <c r="T93" s="324"/>
      <c r="U93" s="324"/>
      <c r="V93" s="324"/>
      <c r="W93" s="324"/>
      <c r="X93" s="324"/>
      <c r="Y93" s="324"/>
      <c r="Z93" s="324"/>
      <c r="AA93" s="324"/>
      <c r="AB93" s="324"/>
      <c r="AC93" s="324"/>
      <c r="AD93" s="324"/>
      <c r="AE93" s="324"/>
      <c r="AF93" s="324"/>
      <c r="AG93" s="324"/>
      <c r="AH93" s="324"/>
      <c r="AI93" s="325"/>
      <c r="AK93" s="210"/>
      <c r="AL93" s="113"/>
      <c r="AM93" s="89"/>
      <c r="AN93" s="89"/>
      <c r="AO93" s="89"/>
      <c r="AP93" s="89"/>
      <c r="AQ93" s="89"/>
      <c r="AR93" s="89"/>
    </row>
    <row r="94" spans="1:44" collapsed="1" x14ac:dyDescent="0.2">
      <c r="A94" s="165"/>
      <c r="B94" s="185"/>
      <c r="C94" s="340" t="str">
        <f>IF(ctArbeitsgebiete!H20&lt;&gt;"",ctArbeitsgebiete!H20,"")</f>
        <v/>
      </c>
      <c r="D94" s="334"/>
      <c r="E94" s="944"/>
      <c r="F94" s="945"/>
      <c r="G94" s="945"/>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6"/>
      <c r="AJ94" s="1082">
        <f>SUM(E94:AI94)</f>
        <v>0</v>
      </c>
      <c r="AK94" s="152"/>
      <c r="AL94" s="113"/>
      <c r="AM94" s="89"/>
      <c r="AN94" s="89"/>
      <c r="AO94" s="89"/>
      <c r="AP94" s="89"/>
      <c r="AQ94" s="89"/>
      <c r="AR94" s="89"/>
    </row>
    <row r="95" spans="1:44" x14ac:dyDescent="0.2">
      <c r="A95" s="165"/>
      <c r="B95" s="185"/>
      <c r="C95" s="340" t="str">
        <f>IF(ctArbeitsgebiete!H21&lt;&gt;"",ctArbeitsgebiete!H21,"")</f>
        <v/>
      </c>
      <c r="D95" s="334"/>
      <c r="E95" s="944"/>
      <c r="F95" s="945"/>
      <c r="G95" s="945"/>
      <c r="H95" s="945"/>
      <c r="I95" s="945"/>
      <c r="J95" s="945"/>
      <c r="K95" s="945"/>
      <c r="L95" s="945"/>
      <c r="M95" s="945"/>
      <c r="N95" s="945"/>
      <c r="O95" s="945"/>
      <c r="P95" s="945"/>
      <c r="Q95" s="945"/>
      <c r="R95" s="945"/>
      <c r="S95" s="945"/>
      <c r="T95" s="945"/>
      <c r="U95" s="945"/>
      <c r="V95" s="945"/>
      <c r="W95" s="945"/>
      <c r="X95" s="945"/>
      <c r="Y95" s="945"/>
      <c r="Z95" s="945"/>
      <c r="AA95" s="945"/>
      <c r="AB95" s="945"/>
      <c r="AC95" s="945"/>
      <c r="AD95" s="945"/>
      <c r="AE95" s="945"/>
      <c r="AF95" s="945"/>
      <c r="AG95" s="945"/>
      <c r="AH95" s="945"/>
      <c r="AI95" s="946"/>
      <c r="AJ95" s="338">
        <f t="shared" ref="AJ95:AJ105" si="15">SUM(E95:AI95)</f>
        <v>0</v>
      </c>
      <c r="AK95" s="152"/>
      <c r="AL95" s="113"/>
      <c r="AM95" s="89"/>
      <c r="AN95" s="89"/>
      <c r="AO95" s="89"/>
      <c r="AP95" s="89"/>
      <c r="AQ95" s="89"/>
      <c r="AR95" s="89"/>
    </row>
    <row r="96" spans="1:44" x14ac:dyDescent="0.2">
      <c r="A96" s="165"/>
      <c r="B96" s="185"/>
      <c r="C96" s="340" t="str">
        <f>IF(ctArbeitsgebiete!H22&lt;&gt;"",ctArbeitsgebiete!H22,"")</f>
        <v/>
      </c>
      <c r="D96" s="334"/>
      <c r="E96" s="944"/>
      <c r="F96" s="945"/>
      <c r="G96" s="945"/>
      <c r="H96" s="945"/>
      <c r="I96" s="945"/>
      <c r="J96" s="945"/>
      <c r="K96" s="945"/>
      <c r="L96" s="945"/>
      <c r="M96" s="945"/>
      <c r="N96" s="945"/>
      <c r="O96" s="945"/>
      <c r="P96" s="945"/>
      <c r="Q96" s="945"/>
      <c r="R96" s="945"/>
      <c r="S96" s="945"/>
      <c r="T96" s="945"/>
      <c r="U96" s="945"/>
      <c r="V96" s="945"/>
      <c r="W96" s="945"/>
      <c r="X96" s="945"/>
      <c r="Y96" s="945"/>
      <c r="Z96" s="945"/>
      <c r="AA96" s="945"/>
      <c r="AB96" s="945"/>
      <c r="AC96" s="945"/>
      <c r="AD96" s="945"/>
      <c r="AE96" s="945"/>
      <c r="AF96" s="945"/>
      <c r="AG96" s="945"/>
      <c r="AH96" s="945"/>
      <c r="AI96" s="946"/>
      <c r="AJ96" s="338">
        <f t="shared" si="15"/>
        <v>0</v>
      </c>
      <c r="AK96" s="152"/>
      <c r="AL96" s="113"/>
      <c r="AM96" s="89"/>
      <c r="AN96" s="89"/>
      <c r="AO96" s="89"/>
      <c r="AP96" s="89"/>
      <c r="AQ96" s="89"/>
      <c r="AR96" s="89"/>
    </row>
    <row r="97" spans="1:44" x14ac:dyDescent="0.2">
      <c r="A97" s="165"/>
      <c r="B97" s="185"/>
      <c r="C97" s="340" t="str">
        <f>IF(ctArbeitsgebiete!H23&lt;&gt;"",ctArbeitsgebiete!H23,"")</f>
        <v/>
      </c>
      <c r="D97" s="334"/>
      <c r="E97" s="944"/>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6"/>
      <c r="AJ97" s="338">
        <f t="shared" si="15"/>
        <v>0</v>
      </c>
      <c r="AK97" s="152"/>
      <c r="AL97" s="113"/>
      <c r="AM97" s="89"/>
      <c r="AN97" s="89"/>
      <c r="AO97" s="89"/>
      <c r="AP97" s="89"/>
      <c r="AQ97" s="89"/>
      <c r="AR97" s="89"/>
    </row>
    <row r="98" spans="1:44" x14ac:dyDescent="0.2">
      <c r="A98" s="165"/>
      <c r="B98" s="185"/>
      <c r="C98" s="340" t="str">
        <f>IF(ctArbeitsgebiete!H24&lt;&gt;"",ctArbeitsgebiete!H24,"")</f>
        <v/>
      </c>
      <c r="D98" s="334"/>
      <c r="E98" s="944"/>
      <c r="F98" s="945"/>
      <c r="G98" s="945"/>
      <c r="H98" s="945"/>
      <c r="I98" s="945"/>
      <c r="J98" s="945"/>
      <c r="K98" s="945"/>
      <c r="L98" s="945"/>
      <c r="M98" s="945"/>
      <c r="N98" s="945"/>
      <c r="O98" s="945"/>
      <c r="P98" s="945"/>
      <c r="Q98" s="945"/>
      <c r="R98" s="945"/>
      <c r="S98" s="945"/>
      <c r="T98" s="945"/>
      <c r="U98" s="945"/>
      <c r="V98" s="945"/>
      <c r="W98" s="945"/>
      <c r="X98" s="945"/>
      <c r="Y98" s="945"/>
      <c r="Z98" s="945"/>
      <c r="AA98" s="945"/>
      <c r="AB98" s="945"/>
      <c r="AC98" s="945"/>
      <c r="AD98" s="945"/>
      <c r="AE98" s="945"/>
      <c r="AF98" s="945"/>
      <c r="AG98" s="945"/>
      <c r="AH98" s="945"/>
      <c r="AI98" s="946"/>
      <c r="AJ98" s="338">
        <f t="shared" si="15"/>
        <v>0</v>
      </c>
      <c r="AK98" s="152"/>
      <c r="AL98" s="113"/>
      <c r="AM98" s="89"/>
      <c r="AN98" s="89"/>
      <c r="AO98" s="89"/>
      <c r="AP98" s="89"/>
      <c r="AQ98" s="89"/>
      <c r="AR98" s="89"/>
    </row>
    <row r="99" spans="1:44" x14ac:dyDescent="0.2">
      <c r="A99" s="165"/>
      <c r="B99" s="185"/>
      <c r="C99" s="340" t="str">
        <f>IF(ctArbeitsgebiete!H25&lt;&gt;"",ctArbeitsgebiete!H25,"")</f>
        <v/>
      </c>
      <c r="D99" s="334"/>
      <c r="E99" s="944"/>
      <c r="F99" s="945"/>
      <c r="G99" s="945"/>
      <c r="H99" s="945"/>
      <c r="I99" s="945"/>
      <c r="J99" s="945"/>
      <c r="K99" s="945"/>
      <c r="L99" s="945"/>
      <c r="M99" s="945"/>
      <c r="N99" s="945"/>
      <c r="O99" s="945"/>
      <c r="P99" s="945"/>
      <c r="Q99" s="945"/>
      <c r="R99" s="945"/>
      <c r="S99" s="945"/>
      <c r="T99" s="945"/>
      <c r="U99" s="945"/>
      <c r="V99" s="945"/>
      <c r="W99" s="945"/>
      <c r="X99" s="945"/>
      <c r="Y99" s="945"/>
      <c r="Z99" s="945"/>
      <c r="AA99" s="945"/>
      <c r="AB99" s="945"/>
      <c r="AC99" s="945"/>
      <c r="AD99" s="945"/>
      <c r="AE99" s="945"/>
      <c r="AF99" s="945"/>
      <c r="AG99" s="945"/>
      <c r="AH99" s="945"/>
      <c r="AI99" s="946"/>
      <c r="AJ99" s="338">
        <f t="shared" si="15"/>
        <v>0</v>
      </c>
      <c r="AK99" s="152"/>
      <c r="AL99" s="113"/>
      <c r="AM99" s="89"/>
      <c r="AN99" s="89"/>
      <c r="AO99" s="89"/>
      <c r="AP99" s="89"/>
      <c r="AQ99" s="89"/>
      <c r="AR99" s="89"/>
    </row>
    <row r="100" spans="1:44" x14ac:dyDescent="0.2">
      <c r="A100" s="165"/>
      <c r="B100" s="185"/>
      <c r="C100" s="340" t="str">
        <f>IF(ctArbeitsgebiete!H26&lt;&gt;"",ctArbeitsgebiete!H26,"")</f>
        <v/>
      </c>
      <c r="D100" s="334"/>
      <c r="E100" s="944"/>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B100" s="945"/>
      <c r="AC100" s="945"/>
      <c r="AD100" s="945"/>
      <c r="AE100" s="945"/>
      <c r="AF100" s="945"/>
      <c r="AG100" s="945"/>
      <c r="AH100" s="945"/>
      <c r="AI100" s="946"/>
      <c r="AJ100" s="338">
        <f t="shared" si="15"/>
        <v>0</v>
      </c>
      <c r="AK100" s="152"/>
      <c r="AL100" s="113"/>
      <c r="AM100" s="89"/>
      <c r="AN100" s="89"/>
      <c r="AO100" s="89"/>
      <c r="AP100" s="89"/>
      <c r="AQ100" s="89"/>
      <c r="AR100" s="89"/>
    </row>
    <row r="101" spans="1:44" x14ac:dyDescent="0.2">
      <c r="A101" s="165"/>
      <c r="B101" s="185"/>
      <c r="C101" s="345" t="str">
        <f>IF(ctArbeitsgebiete!H27&lt;&gt;"",ctArbeitsgebiete!H27,"")</f>
        <v/>
      </c>
      <c r="D101" s="346"/>
      <c r="E101" s="947"/>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9"/>
      <c r="AJ101" s="347">
        <f t="shared" si="15"/>
        <v>0</v>
      </c>
      <c r="AK101" s="152"/>
      <c r="AL101" s="113"/>
      <c r="AM101" s="89"/>
      <c r="AN101" s="89"/>
      <c r="AO101" s="89"/>
      <c r="AP101" s="89"/>
      <c r="AQ101" s="89"/>
      <c r="AR101" s="89"/>
    </row>
    <row r="102" spans="1:44" x14ac:dyDescent="0.2">
      <c r="A102" s="165"/>
      <c r="B102" s="185"/>
      <c r="C102" s="992" t="str">
        <f>IF(ctArbeitsgebiete!E24&lt;&gt;"",ctArbeitsgebiete!E24,"")</f>
        <v/>
      </c>
      <c r="D102" s="1083"/>
      <c r="E102" s="1084"/>
      <c r="F102" s="1085"/>
      <c r="G102" s="1085"/>
      <c r="H102" s="1085"/>
      <c r="I102" s="1085"/>
      <c r="J102" s="1085"/>
      <c r="K102" s="1085"/>
      <c r="L102" s="1085"/>
      <c r="M102" s="1085"/>
      <c r="N102" s="1085"/>
      <c r="O102" s="1085"/>
      <c r="P102" s="1085"/>
      <c r="Q102" s="1085"/>
      <c r="R102" s="1085"/>
      <c r="S102" s="1085"/>
      <c r="T102" s="1085"/>
      <c r="U102" s="1085"/>
      <c r="V102" s="1085"/>
      <c r="W102" s="1085"/>
      <c r="X102" s="1085"/>
      <c r="Y102" s="1085"/>
      <c r="Z102" s="1085"/>
      <c r="AA102" s="1085"/>
      <c r="AB102" s="1085"/>
      <c r="AC102" s="1085"/>
      <c r="AD102" s="1085"/>
      <c r="AE102" s="1085"/>
      <c r="AF102" s="1085"/>
      <c r="AG102" s="1085"/>
      <c r="AH102" s="1085"/>
      <c r="AI102" s="1086"/>
      <c r="AJ102" s="1087">
        <f t="shared" si="15"/>
        <v>0</v>
      </c>
      <c r="AK102" s="152"/>
      <c r="AL102" s="113"/>
      <c r="AM102" s="89"/>
      <c r="AN102" s="89"/>
      <c r="AO102" s="89"/>
      <c r="AP102" s="89"/>
      <c r="AQ102" s="89"/>
      <c r="AR102" s="89"/>
    </row>
    <row r="103" spans="1:44" x14ac:dyDescent="0.2">
      <c r="A103" s="165"/>
      <c r="B103" s="185"/>
      <c r="C103" s="342" t="str">
        <f>IF(ctArbeitsgebiete!E25&lt;&gt;"",ctArbeitsgebiete!E25,"")</f>
        <v/>
      </c>
      <c r="D103" s="341"/>
      <c r="E103" s="944"/>
      <c r="F103" s="945"/>
      <c r="G103" s="945"/>
      <c r="H103" s="945"/>
      <c r="I103" s="945"/>
      <c r="J103" s="945"/>
      <c r="K103" s="945"/>
      <c r="L103" s="945"/>
      <c r="M103" s="945"/>
      <c r="N103" s="945"/>
      <c r="O103" s="945"/>
      <c r="P103" s="945"/>
      <c r="Q103" s="945"/>
      <c r="R103" s="945"/>
      <c r="S103" s="945"/>
      <c r="T103" s="945"/>
      <c r="U103" s="945"/>
      <c r="V103" s="945"/>
      <c r="W103" s="945"/>
      <c r="X103" s="945"/>
      <c r="Y103" s="945"/>
      <c r="Z103" s="945"/>
      <c r="AA103" s="945"/>
      <c r="AB103" s="945"/>
      <c r="AC103" s="945"/>
      <c r="AD103" s="945"/>
      <c r="AE103" s="945"/>
      <c r="AF103" s="945"/>
      <c r="AG103" s="945"/>
      <c r="AH103" s="945"/>
      <c r="AI103" s="946"/>
      <c r="AJ103" s="343">
        <f t="shared" si="15"/>
        <v>0</v>
      </c>
      <c r="AK103" s="152"/>
      <c r="AL103" s="113"/>
      <c r="AM103" s="89"/>
      <c r="AN103" s="89"/>
      <c r="AO103" s="89"/>
      <c r="AP103" s="89"/>
      <c r="AQ103" s="89"/>
      <c r="AR103" s="89"/>
    </row>
    <row r="104" spans="1:44" x14ac:dyDescent="0.2">
      <c r="A104" s="165"/>
      <c r="B104" s="185"/>
      <c r="C104" s="342" t="str">
        <f>IF(ctArbeitsgebiete!E26&lt;&gt;"",ctArbeitsgebiete!E26,"")</f>
        <v/>
      </c>
      <c r="D104" s="341"/>
      <c r="E104" s="944"/>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B104" s="945"/>
      <c r="AC104" s="945"/>
      <c r="AD104" s="945"/>
      <c r="AE104" s="945"/>
      <c r="AF104" s="945"/>
      <c r="AG104" s="945"/>
      <c r="AH104" s="945"/>
      <c r="AI104" s="946"/>
      <c r="AJ104" s="343">
        <f t="shared" si="15"/>
        <v>0</v>
      </c>
      <c r="AK104" s="152"/>
      <c r="AL104" s="113"/>
      <c r="AM104" s="89"/>
      <c r="AN104" s="89"/>
      <c r="AO104" s="89"/>
      <c r="AP104" s="89"/>
      <c r="AQ104" s="89"/>
      <c r="AR104" s="89"/>
    </row>
    <row r="105" spans="1:44" ht="13.5" thickBot="1" x14ac:dyDescent="0.25">
      <c r="A105" s="165"/>
      <c r="B105" s="185"/>
      <c r="C105" s="342" t="str">
        <f>IF(ctArbeitsgebiete!E27&lt;&gt;"",ctArbeitsgebiete!E27,"")</f>
        <v/>
      </c>
      <c r="D105" s="341"/>
      <c r="E105" s="950"/>
      <c r="F105" s="951"/>
      <c r="G105" s="951"/>
      <c r="H105" s="951"/>
      <c r="I105" s="951"/>
      <c r="J105" s="951"/>
      <c r="K105" s="951"/>
      <c r="L105" s="951"/>
      <c r="M105" s="951"/>
      <c r="N105" s="951"/>
      <c r="O105" s="951"/>
      <c r="P105" s="951"/>
      <c r="Q105" s="951"/>
      <c r="R105" s="951"/>
      <c r="S105" s="951"/>
      <c r="T105" s="951"/>
      <c r="U105" s="951"/>
      <c r="V105" s="951"/>
      <c r="W105" s="951"/>
      <c r="X105" s="951"/>
      <c r="Y105" s="951"/>
      <c r="Z105" s="951"/>
      <c r="AA105" s="951"/>
      <c r="AB105" s="951"/>
      <c r="AC105" s="951"/>
      <c r="AD105" s="951"/>
      <c r="AE105" s="951"/>
      <c r="AF105" s="951"/>
      <c r="AG105" s="951"/>
      <c r="AH105" s="951"/>
      <c r="AI105" s="952"/>
      <c r="AJ105" s="344">
        <f t="shared" si="15"/>
        <v>0</v>
      </c>
      <c r="AK105" s="152"/>
      <c r="AL105" s="113"/>
      <c r="AM105" s="89"/>
      <c r="AN105" s="89"/>
      <c r="AO105" s="89"/>
      <c r="AP105" s="89"/>
      <c r="AQ105" s="89"/>
      <c r="AR105" s="89"/>
    </row>
    <row r="106" spans="1:44" s="218" customFormat="1" ht="63.75" collapsed="1" x14ac:dyDescent="0.2">
      <c r="C106" s="219" t="s">
        <v>444</v>
      </c>
      <c r="D106" s="220"/>
      <c r="E106" s="335"/>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6"/>
      <c r="AF106" s="336"/>
      <c r="AG106" s="336"/>
      <c r="AH106" s="336"/>
      <c r="AI106" s="337"/>
      <c r="AJ106" s="339">
        <f>SUM(E106:AI106)</f>
        <v>0</v>
      </c>
      <c r="AL106" s="222"/>
    </row>
  </sheetData>
  <sheetProtection algorithmName="SHA-512" hashValue="Xp2VzrNTfKCVfY9gen/zwlJ7JVhg3tROWNrgSHHNYpgPZaz+WrteaW4A6ko0bpoh5tBSISgfSkUpn4gs9kfcig==" saltValue="/RsAzrHpSJhfHFbmzMxgSA==" spinCount="100000" sheet="1" selectLockedCells="1"/>
  <mergeCells count="1">
    <mergeCell ref="D3:D4"/>
  </mergeCells>
  <phoneticPr fontId="9" type="noConversion"/>
  <conditionalFormatting sqref="E3:AH4">
    <cfRule type="expression" dxfId="100" priority="70" stopIfTrue="1">
      <formula>WEEKDAY(E$3,2)=7</formula>
    </cfRule>
  </conditionalFormatting>
  <conditionalFormatting sqref="E7:AH7">
    <cfRule type="expression" dxfId="99" priority="1" stopIfTrue="1">
      <formula>WEEKDAY(E$3,2)=6</formula>
    </cfRule>
    <cfRule type="expression" dxfId="98" priority="2" stopIfTrue="1">
      <formula>WEEKDAY(E$3,2)=7</formula>
    </cfRule>
  </conditionalFormatting>
  <conditionalFormatting sqref="E8:AH8 E10:AH10 E12:AH12">
    <cfRule type="expression" dxfId="97" priority="67" stopIfTrue="1">
      <formula>WEEKDAY(E$3,2)=6</formula>
    </cfRule>
    <cfRule type="expression" dxfId="96" priority="68" stopIfTrue="1">
      <formula>WEEKDAY(E$3,2)=7</formula>
    </cfRule>
  </conditionalFormatting>
  <conditionalFormatting sqref="E9:AH9 E11:AH11">
    <cfRule type="expression" dxfId="95" priority="65" stopIfTrue="1">
      <formula>WEEKDAY(E$3,2)=6</formula>
    </cfRule>
    <cfRule type="expression" dxfId="94" priority="66" stopIfTrue="1">
      <formula>WEEKDAY(E$3,2)=7</formula>
    </cfRule>
  </conditionalFormatting>
  <conditionalFormatting sqref="E3:AI4">
    <cfRule type="expression" dxfId="93" priority="69" stopIfTrue="1">
      <formula>WEEKDAY(E$3,2)=6</formula>
    </cfRule>
  </conditionalFormatting>
  <conditionalFormatting sqref="E13:AI18">
    <cfRule type="expression" dxfId="92" priority="71" stopIfTrue="1">
      <formula>WEEKDAY(E$3,2)=6</formula>
    </cfRule>
    <cfRule type="expression" dxfId="91" priority="72" stopIfTrue="1">
      <formula>WEEKDAY(E$3,2)=7</formula>
    </cfRule>
  </conditionalFormatting>
  <conditionalFormatting sqref="E19:AI19">
    <cfRule type="expression" dxfId="90" priority="73" stopIfTrue="1">
      <formula>WEEKDAY(E$3,2)=6</formula>
    </cfRule>
    <cfRule type="expression" dxfId="89" priority="74" stopIfTrue="1">
      <formula>WEEKDAY(E$3,2)=7</formula>
    </cfRule>
  </conditionalFormatting>
  <conditionalFormatting sqref="E20:AI20 E39:AI39">
    <cfRule type="expression" dxfId="88" priority="61" stopIfTrue="1">
      <formula>WEEKDAY(E$3,2)=6</formula>
    </cfRule>
    <cfRule type="expression" dxfId="87" priority="62" stopIfTrue="1">
      <formula>WEEKDAY(E$3,2)=7</formula>
    </cfRule>
  </conditionalFormatting>
  <conditionalFormatting sqref="E21:AI21 E33:AI38">
    <cfRule type="expression" dxfId="86" priority="59" stopIfTrue="1">
      <formula>WEEKDAY(E$3,2)=6</formula>
    </cfRule>
    <cfRule type="expression" dxfId="85" priority="60" stopIfTrue="1">
      <formula>WEEKDAY(E$3,2)=7</formula>
    </cfRule>
  </conditionalFormatting>
  <conditionalFormatting sqref="E22:AI32 E41:AI85 E94:AI106">
    <cfRule type="expression" dxfId="84" priority="63" stopIfTrue="1">
      <formula>WEEKDAY(E$3,2)=6</formula>
    </cfRule>
    <cfRule type="expression" dxfId="83" priority="64" stopIfTrue="1">
      <formula>WEEKDAY(E$3,2)=7</formula>
    </cfRule>
  </conditionalFormatting>
  <conditionalFormatting sqref="E40:AI40">
    <cfRule type="cellIs" dxfId="82" priority="75" stopIfTrue="1" operator="notEqual">
      <formula>0</formula>
    </cfRule>
    <cfRule type="expression" dxfId="81" priority="76" stopIfTrue="1">
      <formula>WEEKDAY(E$3,2)=6</formula>
    </cfRule>
    <cfRule type="expression" dxfId="80" priority="77" stopIfTrue="1">
      <formula>WEEKDAY(E$3,2)=7</formula>
    </cfRule>
  </conditionalFormatting>
  <conditionalFormatting sqref="AI3:AI4">
    <cfRule type="expression" dxfId="79" priority="81" stopIfTrue="1">
      <formula>WEEKDAY(AI$3,2)=7</formula>
    </cfRule>
  </conditionalFormatting>
  <conditionalFormatting sqref="AI7:AI12">
    <cfRule type="expression" dxfId="78" priority="78" stopIfTrue="1">
      <formula>WEEKDAY(AI$3,2)=6</formula>
    </cfRule>
    <cfRule type="expression" dxfId="77" priority="79" stopIfTrue="1">
      <formula>WEEKDAY(AI$3,2)=7</formula>
    </cfRule>
  </conditionalFormatting>
  <printOptions horizontalCentered="1" verticalCentered="1"/>
  <pageMargins left="0.19685039370078741" right="0.19685039370078741" top="0.39370078740157483" bottom="0.19685039370078741" header="0.31496062992125984" footer="0.19685039370078741"/>
  <pageSetup paperSize="9" scale="53" orientation="landscape"/>
  <headerFooter>
    <oddHeader>&amp;C&amp;12Monatsabrechnung   &amp;A</oddHead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2">
    <pageSetUpPr fitToPage="1"/>
  </sheetPr>
  <dimension ref="A1:AT106"/>
  <sheetViews>
    <sheetView showGridLines="0" showRowColHeaders="0" showZeros="0" showOutlineSymbols="0" topLeftCell="A2" zoomScale="80" zoomScaleNormal="80" workbookViewId="0">
      <pane xSplit="4" ySplit="39" topLeftCell="E41" activePane="bottomRight" state="frozen"/>
      <selection pane="topRight"/>
      <selection pane="bottomLeft"/>
      <selection pane="bottomRight" activeCell="E7" sqref="E7"/>
    </sheetView>
  </sheetViews>
  <sheetFormatPr baseColWidth="10" defaultColWidth="11.42578125" defaultRowHeight="12.75" outlineLevelRow="2" outlineLevelCol="1" x14ac:dyDescent="0.2"/>
  <cols>
    <col min="1" max="1" width="11.42578125" style="8" hidden="1" customWidth="1" outlineLevel="1"/>
    <col min="2" max="2" width="8.42578125" style="13" hidden="1" customWidth="1" outlineLevel="1"/>
    <col min="3" max="3" width="22.42578125" style="87" customWidth="1" collapsed="1"/>
    <col min="4" max="4" width="7.85546875" style="13" customWidth="1"/>
    <col min="5" max="35" width="7.42578125" style="13" customWidth="1"/>
    <col min="36" max="36" width="7.42578125" style="209" customWidth="1"/>
    <col min="37" max="37" width="7.7109375" style="13" hidden="1" customWidth="1" outlineLevel="1"/>
    <col min="38" max="38" width="15.7109375" style="182" hidden="1" customWidth="1" outlineLevel="1"/>
    <col min="39" max="40" width="11.42578125" style="8" hidden="1" customWidth="1" outlineLevel="1"/>
    <col min="41" max="41" width="26.7109375" style="8" hidden="1" customWidth="1" outlineLevel="1"/>
    <col min="42" max="44" width="11.42578125" style="8" hidden="1" customWidth="1" outlineLevel="1"/>
    <col min="45" max="45" width="11.42578125" style="8" collapsed="1"/>
    <col min="46" max="16384" width="11.42578125" style="8"/>
  </cols>
  <sheetData>
    <row r="1" spans="2:46" ht="30" hidden="1" customHeight="1" outlineLevel="1" thickBot="1" x14ac:dyDescent="0.25">
      <c r="AF1" s="8"/>
      <c r="AJ1" s="88"/>
      <c r="AK1" s="89"/>
      <c r="AL1" s="90" t="s">
        <v>406</v>
      </c>
      <c r="AM1" s="91" t="s">
        <v>407</v>
      </c>
      <c r="AN1" s="89"/>
      <c r="AO1" s="89"/>
      <c r="AP1" s="89"/>
      <c r="AQ1" s="89"/>
      <c r="AR1" s="89"/>
    </row>
    <row r="2" spans="2:46" ht="30" customHeight="1" collapsed="1" thickBot="1" x14ac:dyDescent="0.25">
      <c r="C2" s="92">
        <f>DATEVALUE("1.10."&amp;YEAR(ctPersonalangaben!H12))</f>
        <v>44834</v>
      </c>
      <c r="D2" s="93">
        <f>YEAR(ctPersonalangaben!H12)</f>
        <v>2026</v>
      </c>
      <c r="E2" s="99" t="str">
        <f>CONCATENATE("Arbeitszeit-Eingabe von ",Mitarbeiter)</f>
        <v>Arbeitszeit-Eingabe von Max Muster, Musterstelle</v>
      </c>
      <c r="F2" s="6"/>
      <c r="G2" s="6"/>
      <c r="H2" s="6"/>
      <c r="I2" s="94"/>
      <c r="J2" s="6"/>
      <c r="K2" s="6"/>
      <c r="L2" s="6"/>
      <c r="M2" s="6"/>
      <c r="N2" s="6"/>
      <c r="O2" s="6"/>
      <c r="P2" s="6"/>
      <c r="Q2" s="6"/>
      <c r="R2" s="6"/>
      <c r="S2" s="95"/>
      <c r="T2" s="96"/>
      <c r="U2" s="96"/>
      <c r="V2" s="97"/>
      <c r="W2" s="97"/>
      <c r="X2" s="97"/>
      <c r="Y2" s="97"/>
      <c r="Z2" s="97"/>
      <c r="AA2" s="97"/>
      <c r="AB2" s="97"/>
      <c r="AC2" s="97"/>
      <c r="AD2" s="98"/>
      <c r="AE2" s="97"/>
      <c r="AF2" s="99"/>
      <c r="AG2" s="100" t="s">
        <v>408</v>
      </c>
      <c r="AH2" s="99">
        <f>VLOOKUP(DATE($D$2,MONTH($C$2),$E$4),Ferienanspruch,3,TRUE)</f>
        <v>100</v>
      </c>
      <c r="AI2" s="101" t="s">
        <v>106</v>
      </c>
      <c r="AJ2" s="88"/>
      <c r="AK2" s="102"/>
      <c r="AL2" s="91"/>
      <c r="AM2" s="91" t="s">
        <v>409</v>
      </c>
      <c r="AN2" s="89"/>
      <c r="AO2" s="89"/>
      <c r="AP2" s="89"/>
      <c r="AQ2" s="89"/>
      <c r="AR2" s="89"/>
    </row>
    <row r="3" spans="2:46" x14ac:dyDescent="0.2">
      <c r="C3" s="7"/>
      <c r="D3" s="1254" t="s">
        <v>254</v>
      </c>
      <c r="E3" s="226">
        <f t="shared" ref="E3:AF3" si="0">DATE($D$2,MONTH($C$2),E$4)</f>
        <v>44834</v>
      </c>
      <c r="F3" s="103">
        <f t="shared" si="0"/>
        <v>44835</v>
      </c>
      <c r="G3" s="103">
        <f t="shared" si="0"/>
        <v>44836</v>
      </c>
      <c r="H3" s="103">
        <f t="shared" si="0"/>
        <v>44837</v>
      </c>
      <c r="I3" s="226">
        <f t="shared" si="0"/>
        <v>44838</v>
      </c>
      <c r="J3" s="103">
        <f t="shared" si="0"/>
        <v>44839</v>
      </c>
      <c r="K3" s="103">
        <f t="shared" si="0"/>
        <v>44840</v>
      </c>
      <c r="L3" s="103">
        <f t="shared" si="0"/>
        <v>44841</v>
      </c>
      <c r="M3" s="103">
        <f t="shared" si="0"/>
        <v>44842</v>
      </c>
      <c r="N3" s="103">
        <f t="shared" si="0"/>
        <v>44843</v>
      </c>
      <c r="O3" s="103">
        <f t="shared" si="0"/>
        <v>44844</v>
      </c>
      <c r="P3" s="103">
        <f t="shared" si="0"/>
        <v>44845</v>
      </c>
      <c r="Q3" s="103">
        <f t="shared" si="0"/>
        <v>44846</v>
      </c>
      <c r="R3" s="103">
        <f t="shared" si="0"/>
        <v>44847</v>
      </c>
      <c r="S3" s="103">
        <f t="shared" si="0"/>
        <v>44848</v>
      </c>
      <c r="T3" s="103">
        <f t="shared" si="0"/>
        <v>44849</v>
      </c>
      <c r="U3" s="103">
        <f t="shared" si="0"/>
        <v>44850</v>
      </c>
      <c r="V3" s="103">
        <f t="shared" si="0"/>
        <v>44851</v>
      </c>
      <c r="W3" s="103">
        <f t="shared" si="0"/>
        <v>44852</v>
      </c>
      <c r="X3" s="103">
        <f t="shared" si="0"/>
        <v>44853</v>
      </c>
      <c r="Y3" s="103">
        <f t="shared" si="0"/>
        <v>44854</v>
      </c>
      <c r="Z3" s="103">
        <f t="shared" si="0"/>
        <v>44855</v>
      </c>
      <c r="AA3" s="103">
        <f t="shared" si="0"/>
        <v>44856</v>
      </c>
      <c r="AB3" s="103">
        <f t="shared" si="0"/>
        <v>44857</v>
      </c>
      <c r="AC3" s="103">
        <f t="shared" si="0"/>
        <v>44858</v>
      </c>
      <c r="AD3" s="104">
        <f t="shared" si="0"/>
        <v>44859</v>
      </c>
      <c r="AE3" s="104">
        <f t="shared" si="0"/>
        <v>44860</v>
      </c>
      <c r="AF3" s="104">
        <f t="shared" si="0"/>
        <v>44861</v>
      </c>
      <c r="AG3" s="104">
        <f>IF(MONTH($C2+AG$5) = MONTH($C2),DATE($D$2,MONTH($C$2),AG$5+1),"")</f>
        <v>44862</v>
      </c>
      <c r="AH3" s="104">
        <f>IF(MONTH($C2+AH$5) = MONTH($C2),DATE($D$2,MONTH($C$2),AH$5+1),"")</f>
        <v>44863</v>
      </c>
      <c r="AI3" s="105">
        <f>IF(MONTH($C2+AI$5) = MONTH($C2),DATE($D$2,MONTH($C$2),AI$5+1),"")</f>
        <v>44864</v>
      </c>
      <c r="AJ3" s="88"/>
      <c r="AK3" s="106"/>
      <c r="AL3" s="91"/>
      <c r="AM3" s="91"/>
      <c r="AN3" s="89"/>
      <c r="AO3" s="89"/>
      <c r="AP3" s="89"/>
      <c r="AQ3" s="89"/>
      <c r="AR3" s="89"/>
    </row>
    <row r="4" spans="2:46" ht="19.5" customHeight="1" x14ac:dyDescent="0.2">
      <c r="C4" s="13"/>
      <c r="D4" s="1255"/>
      <c r="E4" s="227">
        <v>1</v>
      </c>
      <c r="F4" s="107">
        <v>2</v>
      </c>
      <c r="G4" s="107">
        <v>3</v>
      </c>
      <c r="H4" s="107">
        <v>4</v>
      </c>
      <c r="I4" s="227">
        <v>5</v>
      </c>
      <c r="J4" s="107">
        <v>6</v>
      </c>
      <c r="K4" s="107">
        <v>7</v>
      </c>
      <c r="L4" s="107">
        <v>8</v>
      </c>
      <c r="M4" s="107">
        <v>9</v>
      </c>
      <c r="N4" s="107">
        <v>10</v>
      </c>
      <c r="O4" s="107">
        <v>11</v>
      </c>
      <c r="P4" s="107">
        <v>12</v>
      </c>
      <c r="Q4" s="107">
        <v>13</v>
      </c>
      <c r="R4" s="107">
        <v>14</v>
      </c>
      <c r="S4" s="107">
        <v>15</v>
      </c>
      <c r="T4" s="107">
        <v>16</v>
      </c>
      <c r="U4" s="107">
        <v>17</v>
      </c>
      <c r="V4" s="107">
        <v>18</v>
      </c>
      <c r="W4" s="107">
        <v>19</v>
      </c>
      <c r="X4" s="107">
        <v>20</v>
      </c>
      <c r="Y4" s="107">
        <v>21</v>
      </c>
      <c r="Z4" s="107">
        <v>22</v>
      </c>
      <c r="AA4" s="107">
        <v>23</v>
      </c>
      <c r="AB4" s="107">
        <v>24</v>
      </c>
      <c r="AC4" s="107">
        <v>25</v>
      </c>
      <c r="AD4" s="107">
        <v>26</v>
      </c>
      <c r="AE4" s="107">
        <v>27</v>
      </c>
      <c r="AF4" s="107">
        <v>28</v>
      </c>
      <c r="AG4" s="107">
        <f>IF(MONTH($C2+AG5) = MONTH($C2),AG$5+1,"")</f>
        <v>29</v>
      </c>
      <c r="AH4" s="107">
        <f>IF(MONTH($C2+AH5) = MONTH($C2),AH$5+1,"")</f>
        <v>30</v>
      </c>
      <c r="AI4" s="108">
        <f>IF(MONTH($C2+AI5) = MONTH($C2),AI$5+1,"")</f>
        <v>31</v>
      </c>
      <c r="AJ4" s="88"/>
      <c r="AK4" s="106"/>
      <c r="AL4" s="91"/>
      <c r="AM4" s="91"/>
      <c r="AN4" s="89"/>
      <c r="AO4" s="89"/>
      <c r="AP4" s="89"/>
      <c r="AQ4" s="89"/>
      <c r="AR4" s="89"/>
    </row>
    <row r="5" spans="2:46" ht="19.5" hidden="1" customHeight="1" outlineLevel="1" x14ac:dyDescent="0.2">
      <c r="C5" s="13"/>
      <c r="D5" s="109"/>
      <c r="E5" s="110"/>
      <c r="F5" s="110">
        <v>1</v>
      </c>
      <c r="G5" s="110">
        <v>2</v>
      </c>
      <c r="H5" s="228">
        <v>3</v>
      </c>
      <c r="I5" s="110">
        <v>4</v>
      </c>
      <c r="J5" s="110">
        <v>5</v>
      </c>
      <c r="K5" s="110">
        <v>6</v>
      </c>
      <c r="L5" s="110">
        <v>7</v>
      </c>
      <c r="M5" s="110">
        <v>8</v>
      </c>
      <c r="N5" s="110">
        <v>9</v>
      </c>
      <c r="O5" s="110">
        <v>10</v>
      </c>
      <c r="P5" s="110">
        <v>11</v>
      </c>
      <c r="Q5" s="110">
        <v>12</v>
      </c>
      <c r="R5" s="110">
        <v>13</v>
      </c>
      <c r="S5" s="110">
        <v>14</v>
      </c>
      <c r="T5" s="110">
        <v>15</v>
      </c>
      <c r="U5" s="110">
        <v>16</v>
      </c>
      <c r="V5" s="110">
        <v>17</v>
      </c>
      <c r="W5" s="110">
        <v>18</v>
      </c>
      <c r="X5" s="110">
        <v>19</v>
      </c>
      <c r="Y5" s="110">
        <v>20</v>
      </c>
      <c r="Z5" s="110">
        <v>21</v>
      </c>
      <c r="AA5" s="110">
        <v>22</v>
      </c>
      <c r="AB5" s="110">
        <v>23</v>
      </c>
      <c r="AC5" s="110">
        <v>24</v>
      </c>
      <c r="AD5" s="110">
        <v>25</v>
      </c>
      <c r="AE5" s="110">
        <v>26</v>
      </c>
      <c r="AF5" s="110">
        <v>27</v>
      </c>
      <c r="AG5" s="110">
        <v>28</v>
      </c>
      <c r="AH5" s="110">
        <v>29</v>
      </c>
      <c r="AI5" s="111">
        <v>30</v>
      </c>
      <c r="AJ5" s="88"/>
      <c r="AK5" s="102"/>
      <c r="AL5" s="91"/>
      <c r="AM5" s="91"/>
      <c r="AN5" s="89"/>
      <c r="AO5" s="89"/>
      <c r="AP5" s="89"/>
      <c r="AQ5" s="89"/>
      <c r="AR5" s="89"/>
    </row>
    <row r="6" spans="2:46" ht="19.5" hidden="1" customHeight="1" outlineLevel="1" x14ac:dyDescent="0.2">
      <c r="C6" s="13"/>
      <c r="D6" s="109"/>
      <c r="E6" s="288">
        <f>WEEKDAY(E$3,2)</f>
        <v>4</v>
      </c>
      <c r="F6" s="288">
        <f t="shared" ref="F6:AF6" si="1">WEEKDAY(F$3,2)</f>
        <v>5</v>
      </c>
      <c r="G6" s="288">
        <f t="shared" si="1"/>
        <v>6</v>
      </c>
      <c r="H6" s="898">
        <f t="shared" si="1"/>
        <v>7</v>
      </c>
      <c r="I6" s="288">
        <f t="shared" si="1"/>
        <v>1</v>
      </c>
      <c r="J6" s="288">
        <f t="shared" si="1"/>
        <v>2</v>
      </c>
      <c r="K6" s="288">
        <f t="shared" si="1"/>
        <v>3</v>
      </c>
      <c r="L6" s="288">
        <f t="shared" si="1"/>
        <v>4</v>
      </c>
      <c r="M6" s="288">
        <f t="shared" si="1"/>
        <v>5</v>
      </c>
      <c r="N6" s="288">
        <f t="shared" si="1"/>
        <v>6</v>
      </c>
      <c r="O6" s="288">
        <f t="shared" si="1"/>
        <v>7</v>
      </c>
      <c r="P6" s="288">
        <f t="shared" si="1"/>
        <v>1</v>
      </c>
      <c r="Q6" s="288">
        <f t="shared" si="1"/>
        <v>2</v>
      </c>
      <c r="R6" s="288">
        <f t="shared" si="1"/>
        <v>3</v>
      </c>
      <c r="S6" s="288">
        <f t="shared" si="1"/>
        <v>4</v>
      </c>
      <c r="T6" s="288">
        <f t="shared" si="1"/>
        <v>5</v>
      </c>
      <c r="U6" s="288">
        <f t="shared" si="1"/>
        <v>6</v>
      </c>
      <c r="V6" s="288">
        <f t="shared" si="1"/>
        <v>7</v>
      </c>
      <c r="W6" s="288">
        <f t="shared" si="1"/>
        <v>1</v>
      </c>
      <c r="X6" s="288">
        <f t="shared" si="1"/>
        <v>2</v>
      </c>
      <c r="Y6" s="288">
        <f t="shared" si="1"/>
        <v>3</v>
      </c>
      <c r="Z6" s="288">
        <f t="shared" si="1"/>
        <v>4</v>
      </c>
      <c r="AA6" s="288">
        <f t="shared" si="1"/>
        <v>5</v>
      </c>
      <c r="AB6" s="288">
        <f t="shared" si="1"/>
        <v>6</v>
      </c>
      <c r="AC6" s="288">
        <f t="shared" si="1"/>
        <v>7</v>
      </c>
      <c r="AD6" s="288">
        <f t="shared" si="1"/>
        <v>1</v>
      </c>
      <c r="AE6" s="288">
        <f t="shared" si="1"/>
        <v>2</v>
      </c>
      <c r="AF6" s="288">
        <f t="shared" si="1"/>
        <v>3</v>
      </c>
      <c r="AG6" s="288">
        <f>IF(AG3&lt;&gt;"",WEEKDAY(AG$3,2),"")</f>
        <v>4</v>
      </c>
      <c r="AH6" s="288"/>
      <c r="AI6" s="899"/>
      <c r="AJ6" s="88"/>
      <c r="AK6" s="102"/>
      <c r="AL6" s="91"/>
      <c r="AM6" s="91"/>
      <c r="AN6" s="89"/>
      <c r="AO6" s="89"/>
      <c r="AP6" s="89"/>
      <c r="AQ6" s="89"/>
      <c r="AR6" s="89"/>
    </row>
    <row r="7" spans="2:46" ht="22.5" customHeight="1" collapsed="1" x14ac:dyDescent="0.2">
      <c r="C7" s="8"/>
      <c r="D7" s="112" t="str">
        <f>Januar!D7</f>
        <v>Beginn</v>
      </c>
      <c r="E7" s="1042"/>
      <c r="F7" s="1042">
        <v>0</v>
      </c>
      <c r="G7" s="1042">
        <v>0</v>
      </c>
      <c r="H7" s="1042">
        <v>0</v>
      </c>
      <c r="I7" s="1042">
        <v>0</v>
      </c>
      <c r="J7" s="1042">
        <v>0</v>
      </c>
      <c r="K7" s="1042">
        <v>0</v>
      </c>
      <c r="L7" s="1042">
        <v>0</v>
      </c>
      <c r="M7" s="1042">
        <v>0</v>
      </c>
      <c r="N7" s="1042">
        <v>0</v>
      </c>
      <c r="O7" s="1042">
        <v>0</v>
      </c>
      <c r="P7" s="1042">
        <v>0</v>
      </c>
      <c r="Q7" s="1042">
        <v>0</v>
      </c>
      <c r="R7" s="1042">
        <v>0</v>
      </c>
      <c r="S7" s="1042">
        <v>0</v>
      </c>
      <c r="T7" s="1042">
        <v>0</v>
      </c>
      <c r="U7" s="1042">
        <v>0</v>
      </c>
      <c r="V7" s="1042">
        <v>0</v>
      </c>
      <c r="W7" s="1042">
        <v>0</v>
      </c>
      <c r="X7" s="1042">
        <v>0</v>
      </c>
      <c r="Y7" s="1042">
        <v>0</v>
      </c>
      <c r="Z7" s="1042">
        <v>0</v>
      </c>
      <c r="AA7" s="1042">
        <v>0</v>
      </c>
      <c r="AB7" s="1042">
        <v>0</v>
      </c>
      <c r="AC7" s="1042">
        <v>0</v>
      </c>
      <c r="AD7" s="1042">
        <v>0</v>
      </c>
      <c r="AE7" s="1042">
        <v>0</v>
      </c>
      <c r="AF7" s="1042">
        <v>0</v>
      </c>
      <c r="AG7" s="1042">
        <v>0</v>
      </c>
      <c r="AH7" s="1042">
        <v>0</v>
      </c>
      <c r="AI7" s="1043">
        <v>0</v>
      </c>
      <c r="AJ7" s="88"/>
      <c r="AK7" s="900"/>
      <c r="AL7" s="91"/>
      <c r="AM7" s="91"/>
      <c r="AN7" s="113"/>
      <c r="AO7" s="89"/>
      <c r="AP7" s="89"/>
      <c r="AQ7" s="89"/>
      <c r="AR7" s="89"/>
    </row>
    <row r="8" spans="2:46" ht="22.5" customHeight="1" x14ac:dyDescent="0.2">
      <c r="C8" s="901"/>
      <c r="D8" s="112" t="str">
        <f>Januar!D8</f>
        <v>Ende</v>
      </c>
      <c r="E8" s="235"/>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4"/>
      <c r="AJ8" s="88"/>
      <c r="AK8" s="900"/>
      <c r="AL8" s="91"/>
      <c r="AM8" s="91"/>
      <c r="AN8" s="89"/>
      <c r="AO8" s="89"/>
      <c r="AP8" s="89"/>
      <c r="AQ8" s="89"/>
      <c r="AR8" s="89"/>
    </row>
    <row r="9" spans="2:46" ht="22.5" customHeight="1" x14ac:dyDescent="0.2">
      <c r="C9" s="8"/>
      <c r="D9" s="112" t="str">
        <f>Januar!D9</f>
        <v>Beginn</v>
      </c>
      <c r="E9" s="1041"/>
      <c r="F9" s="1042"/>
      <c r="G9" s="1042"/>
      <c r="H9" s="1042"/>
      <c r="I9" s="1042"/>
      <c r="J9" s="1042"/>
      <c r="K9" s="1042"/>
      <c r="L9" s="1042"/>
      <c r="M9" s="1042"/>
      <c r="N9" s="1042"/>
      <c r="O9" s="1042"/>
      <c r="P9" s="1042"/>
      <c r="Q9" s="1042"/>
      <c r="R9" s="1042"/>
      <c r="S9" s="1042"/>
      <c r="T9" s="1042"/>
      <c r="U9" s="1042"/>
      <c r="V9" s="1042"/>
      <c r="W9" s="1042"/>
      <c r="X9" s="1042"/>
      <c r="Y9" s="1042"/>
      <c r="Z9" s="1042"/>
      <c r="AA9" s="1042"/>
      <c r="AB9" s="1042"/>
      <c r="AC9" s="1042"/>
      <c r="AD9" s="1042"/>
      <c r="AE9" s="1042"/>
      <c r="AF9" s="1042"/>
      <c r="AG9" s="1042"/>
      <c r="AH9" s="1042"/>
      <c r="AI9" s="1043"/>
      <c r="AJ9" s="88"/>
      <c r="AK9" s="900"/>
      <c r="AL9" s="91"/>
      <c r="AM9" s="91"/>
      <c r="AN9" s="89"/>
      <c r="AO9" s="89"/>
      <c r="AP9" s="89"/>
      <c r="AQ9" s="89"/>
      <c r="AR9" s="89"/>
    </row>
    <row r="10" spans="2:46" ht="22.5" customHeight="1" x14ac:dyDescent="0.2">
      <c r="C10" s="901"/>
      <c r="D10" s="112" t="str">
        <f>Januar!D10</f>
        <v>Ende</v>
      </c>
      <c r="E10" s="235"/>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4"/>
      <c r="AJ10" s="88"/>
      <c r="AK10" s="900"/>
      <c r="AL10" s="900"/>
      <c r="AM10" s="114"/>
      <c r="AN10" s="114"/>
      <c r="AO10" s="114"/>
      <c r="AP10" s="89"/>
      <c r="AQ10" s="89"/>
      <c r="AR10" s="89"/>
    </row>
    <row r="11" spans="2:46" ht="22.5" customHeight="1" x14ac:dyDescent="0.2">
      <c r="C11" s="8"/>
      <c r="D11" s="112" t="str">
        <f>Januar!D11</f>
        <v>Beginn</v>
      </c>
      <c r="E11" s="1041"/>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3"/>
      <c r="AJ11" s="88"/>
      <c r="AK11" s="115"/>
      <c r="AL11" s="89"/>
      <c r="AM11" s="89"/>
      <c r="AN11" s="89"/>
      <c r="AO11" s="89"/>
      <c r="AP11" s="89"/>
      <c r="AQ11" s="89"/>
      <c r="AR11" s="89"/>
    </row>
    <row r="12" spans="2:46" ht="22.5" customHeight="1" x14ac:dyDescent="0.2">
      <c r="C12" s="116"/>
      <c r="D12" s="112" t="str">
        <f>Januar!D12</f>
        <v>Ende</v>
      </c>
      <c r="E12" s="235"/>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4"/>
      <c r="AJ12" s="88"/>
      <c r="AK12" s="902"/>
      <c r="AL12" s="91" t="s">
        <v>411</v>
      </c>
      <c r="AM12" s="91"/>
      <c r="AN12" s="113"/>
      <c r="AO12" s="89"/>
      <c r="AP12" s="89"/>
      <c r="AQ12" s="89"/>
      <c r="AR12" s="89"/>
    </row>
    <row r="13" spans="2:46" s="123" customFormat="1" x14ac:dyDescent="0.2">
      <c r="B13" s="117"/>
      <c r="C13" s="118" t="str">
        <f>Januar!C13</f>
        <v>Effektive Arbeitszeit</v>
      </c>
      <c r="D13" s="119"/>
      <c r="E13" s="1044">
        <f>IF(COUNT(E7:E12)&gt;0,E12-E11+E10-E9+E8-E7,E39)</f>
        <v>0</v>
      </c>
      <c r="F13" s="1045">
        <f t="shared" ref="F13:AI13" si="2">IF(COUNT(F7:F12)&gt;0,F12-F11+F10-F9+F8-F7,F39)</f>
        <v>0</v>
      </c>
      <c r="G13" s="1045">
        <f t="shared" si="2"/>
        <v>0</v>
      </c>
      <c r="H13" s="1045">
        <f t="shared" si="2"/>
        <v>0</v>
      </c>
      <c r="I13" s="1045">
        <f t="shared" si="2"/>
        <v>0</v>
      </c>
      <c r="J13" s="1045">
        <f t="shared" si="2"/>
        <v>0</v>
      </c>
      <c r="K13" s="1045">
        <f t="shared" si="2"/>
        <v>0</v>
      </c>
      <c r="L13" s="1045">
        <f t="shared" si="2"/>
        <v>0</v>
      </c>
      <c r="M13" s="1045">
        <f t="shared" si="2"/>
        <v>0</v>
      </c>
      <c r="N13" s="1045">
        <f t="shared" si="2"/>
        <v>0</v>
      </c>
      <c r="O13" s="1045">
        <f t="shared" si="2"/>
        <v>0</v>
      </c>
      <c r="P13" s="1045">
        <f t="shared" si="2"/>
        <v>0</v>
      </c>
      <c r="Q13" s="1045">
        <f t="shared" si="2"/>
        <v>0</v>
      </c>
      <c r="R13" s="1045">
        <f t="shared" si="2"/>
        <v>0</v>
      </c>
      <c r="S13" s="1045">
        <f t="shared" si="2"/>
        <v>0</v>
      </c>
      <c r="T13" s="1045">
        <f t="shared" si="2"/>
        <v>0</v>
      </c>
      <c r="U13" s="1045">
        <f t="shared" si="2"/>
        <v>0</v>
      </c>
      <c r="V13" s="1045">
        <f t="shared" si="2"/>
        <v>0</v>
      </c>
      <c r="W13" s="1045">
        <f t="shared" si="2"/>
        <v>0</v>
      </c>
      <c r="X13" s="1045">
        <f t="shared" si="2"/>
        <v>0</v>
      </c>
      <c r="Y13" s="1045">
        <f t="shared" si="2"/>
        <v>0</v>
      </c>
      <c r="Z13" s="1045">
        <f t="shared" si="2"/>
        <v>0</v>
      </c>
      <c r="AA13" s="1045">
        <f t="shared" si="2"/>
        <v>0</v>
      </c>
      <c r="AB13" s="1045">
        <f t="shared" si="2"/>
        <v>0</v>
      </c>
      <c r="AC13" s="1045">
        <f t="shared" si="2"/>
        <v>0</v>
      </c>
      <c r="AD13" s="1045">
        <f t="shared" si="2"/>
        <v>0</v>
      </c>
      <c r="AE13" s="1045">
        <f t="shared" si="2"/>
        <v>0</v>
      </c>
      <c r="AF13" s="1045">
        <f t="shared" si="2"/>
        <v>0</v>
      </c>
      <c r="AG13" s="1045">
        <f t="shared" si="2"/>
        <v>0</v>
      </c>
      <c r="AH13" s="1045">
        <f t="shared" si="2"/>
        <v>0</v>
      </c>
      <c r="AI13" s="1046">
        <f t="shared" si="2"/>
        <v>0</v>
      </c>
      <c r="AJ13" s="1047">
        <f t="shared" ref="AJ13:AJ18" si="3">SUM(E13:AI13)</f>
        <v>0</v>
      </c>
      <c r="AK13" s="120"/>
      <c r="AL13" s="121" t="s">
        <v>413</v>
      </c>
      <c r="AM13" s="121"/>
      <c r="AN13" s="122"/>
      <c r="AS13" s="124"/>
    </row>
    <row r="14" spans="2:46" s="129" customFormat="1" x14ac:dyDescent="0.2">
      <c r="B14" s="117"/>
      <c r="C14" s="118" t="str">
        <f>Januar!C14</f>
        <v>inkl. Basiszeit / Feiertage</v>
      </c>
      <c r="D14" s="125"/>
      <c r="E14" s="126">
        <f>ROUND(SUM(E13,E15,E21,E22,E24:E38),8)</f>
        <v>0</v>
      </c>
      <c r="F14" s="127">
        <f>ROUND(SUM(F13,F15,F21,F22,F24:F38),8)</f>
        <v>0</v>
      </c>
      <c r="G14" s="127">
        <f t="shared" ref="G14:AI14" si="4">ROUND(SUM(G13,G15,G21,G22,G24:G38),8)</f>
        <v>0</v>
      </c>
      <c r="H14" s="127">
        <f t="shared" si="4"/>
        <v>0</v>
      </c>
      <c r="I14" s="127">
        <f t="shared" si="4"/>
        <v>0</v>
      </c>
      <c r="J14" s="127">
        <f t="shared" si="4"/>
        <v>0</v>
      </c>
      <c r="K14" s="127">
        <f t="shared" si="4"/>
        <v>0</v>
      </c>
      <c r="L14" s="127">
        <f t="shared" si="4"/>
        <v>0</v>
      </c>
      <c r="M14" s="127">
        <f t="shared" si="4"/>
        <v>0</v>
      </c>
      <c r="N14" s="127">
        <f t="shared" si="4"/>
        <v>0</v>
      </c>
      <c r="O14" s="127">
        <f t="shared" si="4"/>
        <v>0</v>
      </c>
      <c r="P14" s="127">
        <f t="shared" si="4"/>
        <v>0</v>
      </c>
      <c r="Q14" s="127">
        <f t="shared" si="4"/>
        <v>0</v>
      </c>
      <c r="R14" s="127">
        <f t="shared" si="4"/>
        <v>0</v>
      </c>
      <c r="S14" s="127">
        <f t="shared" si="4"/>
        <v>0</v>
      </c>
      <c r="T14" s="127">
        <f t="shared" si="4"/>
        <v>0</v>
      </c>
      <c r="U14" s="127">
        <f t="shared" si="4"/>
        <v>0</v>
      </c>
      <c r="V14" s="127">
        <f t="shared" si="4"/>
        <v>0</v>
      </c>
      <c r="W14" s="127">
        <f t="shared" si="4"/>
        <v>0</v>
      </c>
      <c r="X14" s="127">
        <f t="shared" si="4"/>
        <v>0</v>
      </c>
      <c r="Y14" s="127">
        <f t="shared" si="4"/>
        <v>0</v>
      </c>
      <c r="Z14" s="127">
        <f t="shared" si="4"/>
        <v>0</v>
      </c>
      <c r="AA14" s="127">
        <f t="shared" si="4"/>
        <v>0</v>
      </c>
      <c r="AB14" s="127">
        <f t="shared" si="4"/>
        <v>0</v>
      </c>
      <c r="AC14" s="127">
        <f t="shared" si="4"/>
        <v>0</v>
      </c>
      <c r="AD14" s="127">
        <f t="shared" si="4"/>
        <v>0</v>
      </c>
      <c r="AE14" s="127">
        <f t="shared" si="4"/>
        <v>0</v>
      </c>
      <c r="AF14" s="127">
        <f t="shared" si="4"/>
        <v>0</v>
      </c>
      <c r="AG14" s="127">
        <f t="shared" si="4"/>
        <v>0</v>
      </c>
      <c r="AH14" s="127">
        <f t="shared" si="4"/>
        <v>0</v>
      </c>
      <c r="AI14" s="127">
        <f t="shared" si="4"/>
        <v>0</v>
      </c>
      <c r="AJ14" s="128">
        <f t="shared" si="3"/>
        <v>0</v>
      </c>
      <c r="AK14" s="1048">
        <f>AJ14-AJ16-IF(Eingabeblatt!D7="NEIN",AJ85,AJ85/1.25)</f>
        <v>-7.6999999999999966</v>
      </c>
      <c r="AL14" s="117" t="s">
        <v>415</v>
      </c>
      <c r="AM14" s="121"/>
      <c r="AN14" s="122"/>
      <c r="AT14" s="123"/>
    </row>
    <row r="15" spans="2:46" s="129" customFormat="1" x14ac:dyDescent="0.2">
      <c r="B15" s="117">
        <f>ctFeierFreitage!K28</f>
        <v>3.3166666666666669</v>
      </c>
      <c r="C15" s="118" t="str">
        <f>Januar!C15</f>
        <v>Feiertagsanspruch</v>
      </c>
      <c r="D15" s="125"/>
      <c r="E15" s="126">
        <f t="shared" ref="E15:AI15" si="5">IF(ISERROR(VLOOKUP(DATE($D$2,MONTH($C$2),E$4),Feiertagsanspruch,9,FALSE)),0,VLOOKUP(DATE($D$2,MONTH($C$2),E$4),Feiertagsanspruch,9,FALSE))</f>
        <v>0</v>
      </c>
      <c r="F15" s="127">
        <f t="shared" si="5"/>
        <v>0</v>
      </c>
      <c r="G15" s="127">
        <f t="shared" si="5"/>
        <v>0</v>
      </c>
      <c r="H15" s="127">
        <f t="shared" si="5"/>
        <v>0</v>
      </c>
      <c r="I15" s="127">
        <f t="shared" si="5"/>
        <v>0</v>
      </c>
      <c r="J15" s="127">
        <f t="shared" si="5"/>
        <v>0</v>
      </c>
      <c r="K15" s="127">
        <f t="shared" si="5"/>
        <v>0</v>
      </c>
      <c r="L15" s="127">
        <f t="shared" si="5"/>
        <v>0</v>
      </c>
      <c r="M15" s="127">
        <f t="shared" si="5"/>
        <v>0</v>
      </c>
      <c r="N15" s="127">
        <f t="shared" si="5"/>
        <v>0</v>
      </c>
      <c r="O15" s="127">
        <f t="shared" si="5"/>
        <v>0</v>
      </c>
      <c r="P15" s="127">
        <f t="shared" si="5"/>
        <v>0</v>
      </c>
      <c r="Q15" s="127">
        <f t="shared" si="5"/>
        <v>0</v>
      </c>
      <c r="R15" s="127">
        <f t="shared" si="5"/>
        <v>0</v>
      </c>
      <c r="S15" s="127">
        <f t="shared" si="5"/>
        <v>0</v>
      </c>
      <c r="T15" s="127">
        <f t="shared" si="5"/>
        <v>0</v>
      </c>
      <c r="U15" s="127">
        <f t="shared" si="5"/>
        <v>0</v>
      </c>
      <c r="V15" s="127">
        <f t="shared" si="5"/>
        <v>0</v>
      </c>
      <c r="W15" s="127">
        <f t="shared" si="5"/>
        <v>0</v>
      </c>
      <c r="X15" s="127">
        <f t="shared" si="5"/>
        <v>0</v>
      </c>
      <c r="Y15" s="127">
        <f t="shared" si="5"/>
        <v>0</v>
      </c>
      <c r="Z15" s="127">
        <f t="shared" si="5"/>
        <v>0</v>
      </c>
      <c r="AA15" s="127">
        <f t="shared" si="5"/>
        <v>0</v>
      </c>
      <c r="AB15" s="127">
        <f t="shared" si="5"/>
        <v>0</v>
      </c>
      <c r="AC15" s="127">
        <f t="shared" si="5"/>
        <v>0</v>
      </c>
      <c r="AD15" s="127">
        <f t="shared" si="5"/>
        <v>0</v>
      </c>
      <c r="AE15" s="127">
        <f t="shared" si="5"/>
        <v>0</v>
      </c>
      <c r="AF15" s="127">
        <f t="shared" si="5"/>
        <v>0</v>
      </c>
      <c r="AG15" s="127">
        <f t="shared" si="5"/>
        <v>0</v>
      </c>
      <c r="AH15" s="127">
        <f t="shared" si="5"/>
        <v>0</v>
      </c>
      <c r="AI15" s="127">
        <f t="shared" si="5"/>
        <v>0</v>
      </c>
      <c r="AJ15" s="128">
        <f t="shared" si="3"/>
        <v>0</v>
      </c>
      <c r="AK15" s="1048"/>
      <c r="AL15" s="117"/>
      <c r="AM15" s="121"/>
      <c r="AN15" s="122"/>
      <c r="AT15" s="123"/>
    </row>
    <row r="16" spans="2:46" s="123" customFormat="1" hidden="1" outlineLevel="1" x14ac:dyDescent="0.2">
      <c r="B16" s="117"/>
      <c r="C16" s="118" t="str">
        <f>Januar!C16</f>
        <v>SOLL-Arbeitszeit</v>
      </c>
      <c r="D16" s="119"/>
      <c r="E16" s="126">
        <f>IF(ROUND(E17-E15,8)&lt;0,0,ROUND(E17-E15,8))</f>
        <v>0.35</v>
      </c>
      <c r="F16" s="127">
        <f>IF(ROUND(F17-F15,8)&lt;0,0,ROUND(F17-F15,8))</f>
        <v>0.35</v>
      </c>
      <c r="G16" s="127">
        <f t="shared" ref="G16:AI16" si="6">IF(ROUND(G17-G15,8)&lt;0,0,ROUND(G17-G15,8))</f>
        <v>0</v>
      </c>
      <c r="H16" s="127">
        <f t="shared" si="6"/>
        <v>0</v>
      </c>
      <c r="I16" s="127">
        <f t="shared" si="6"/>
        <v>0.35</v>
      </c>
      <c r="J16" s="127">
        <f t="shared" si="6"/>
        <v>0.35</v>
      </c>
      <c r="K16" s="127">
        <f t="shared" si="6"/>
        <v>0.35</v>
      </c>
      <c r="L16" s="127">
        <f t="shared" si="6"/>
        <v>0.35</v>
      </c>
      <c r="M16" s="127">
        <f t="shared" si="6"/>
        <v>0.35</v>
      </c>
      <c r="N16" s="127">
        <f t="shared" si="6"/>
        <v>0</v>
      </c>
      <c r="O16" s="127">
        <f t="shared" si="6"/>
        <v>0</v>
      </c>
      <c r="P16" s="127">
        <f t="shared" si="6"/>
        <v>0.35</v>
      </c>
      <c r="Q16" s="127">
        <f t="shared" si="6"/>
        <v>0.35</v>
      </c>
      <c r="R16" s="127">
        <f t="shared" si="6"/>
        <v>0.35</v>
      </c>
      <c r="S16" s="127">
        <f t="shared" si="6"/>
        <v>0.35</v>
      </c>
      <c r="T16" s="127">
        <f t="shared" si="6"/>
        <v>0.35</v>
      </c>
      <c r="U16" s="127">
        <f t="shared" si="6"/>
        <v>0</v>
      </c>
      <c r="V16" s="127">
        <f t="shared" si="6"/>
        <v>0</v>
      </c>
      <c r="W16" s="127">
        <f t="shared" si="6"/>
        <v>0.35</v>
      </c>
      <c r="X16" s="127">
        <f t="shared" si="6"/>
        <v>0.35</v>
      </c>
      <c r="Y16" s="127">
        <f t="shared" si="6"/>
        <v>0.35</v>
      </c>
      <c r="Z16" s="127">
        <f t="shared" si="6"/>
        <v>0.35</v>
      </c>
      <c r="AA16" s="127">
        <f t="shared" si="6"/>
        <v>0.35</v>
      </c>
      <c r="AB16" s="127">
        <f t="shared" si="6"/>
        <v>0</v>
      </c>
      <c r="AC16" s="127">
        <f t="shared" si="6"/>
        <v>0</v>
      </c>
      <c r="AD16" s="127">
        <f t="shared" si="6"/>
        <v>0.35</v>
      </c>
      <c r="AE16" s="127">
        <f t="shared" si="6"/>
        <v>0.35</v>
      </c>
      <c r="AF16" s="127">
        <f t="shared" si="6"/>
        <v>0.35</v>
      </c>
      <c r="AG16" s="127">
        <f t="shared" si="6"/>
        <v>0.35</v>
      </c>
      <c r="AH16" s="127">
        <f t="shared" si="6"/>
        <v>0.35</v>
      </c>
      <c r="AI16" s="127">
        <f t="shared" si="6"/>
        <v>0</v>
      </c>
      <c r="AJ16" s="128">
        <f t="shared" si="3"/>
        <v>7.6999999999999966</v>
      </c>
      <c r="AK16" s="130"/>
      <c r="AL16" s="121" t="s">
        <v>416</v>
      </c>
      <c r="AM16" s="121"/>
      <c r="AN16" s="122"/>
      <c r="AT16" s="129"/>
    </row>
    <row r="17" spans="1:46" s="123" customFormat="1" collapsed="1" x14ac:dyDescent="0.2">
      <c r="B17" s="117"/>
      <c r="C17" s="118" t="str">
        <f>Januar!C17</f>
        <v>Regelarbeitszeit</v>
      </c>
      <c r="D17" s="119"/>
      <c r="E17" s="126">
        <f>IF(ISERROR(IF(E4&lt;&gt;0,VLOOKUP(DATE($D$2,MONTH($C$2),E$4),Raz,WEEKDAY(DATE($D$2,MONTH($C$2),E$4))+2),0)),0,IF(E4&lt;&gt;0,VLOOKUP(DATE($D$2,MONTH($C$2),E$4),Raz,WEEKDAY(DATE($D$2,MONTH($C$2),E$4))+2),0))</f>
        <v>0.35</v>
      </c>
      <c r="F17" s="127">
        <f t="shared" ref="F17:AI17" si="7">IF(ISERROR(IF(F4&lt;&gt;0,VLOOKUP(DATE($D$2,MONTH($C$2),F$4),Raz,WEEKDAY(DATE($D$2,MONTH($C$2),F$4))+2),0)),0,IF(F4&lt;&gt;0,VLOOKUP(DATE($D$2,MONTH($C$2),F$4),Raz,WEEKDAY(DATE($D$2,MONTH($C$2),F$4))+2),0))</f>
        <v>0.35000000000000003</v>
      </c>
      <c r="G17" s="127">
        <f t="shared" si="7"/>
        <v>0</v>
      </c>
      <c r="H17" s="127">
        <f t="shared" si="7"/>
        <v>0</v>
      </c>
      <c r="I17" s="127">
        <f t="shared" si="7"/>
        <v>0.35000000000000003</v>
      </c>
      <c r="J17" s="127">
        <f t="shared" si="7"/>
        <v>0.35000000000000003</v>
      </c>
      <c r="K17" s="127">
        <f t="shared" si="7"/>
        <v>0.35000000000000003</v>
      </c>
      <c r="L17" s="127">
        <f t="shared" si="7"/>
        <v>0.35</v>
      </c>
      <c r="M17" s="127">
        <f t="shared" si="7"/>
        <v>0.35000000000000003</v>
      </c>
      <c r="N17" s="127">
        <f t="shared" si="7"/>
        <v>0</v>
      </c>
      <c r="O17" s="127">
        <f t="shared" si="7"/>
        <v>0</v>
      </c>
      <c r="P17" s="127">
        <f t="shared" si="7"/>
        <v>0.35000000000000003</v>
      </c>
      <c r="Q17" s="127">
        <f t="shared" si="7"/>
        <v>0.35000000000000003</v>
      </c>
      <c r="R17" s="127">
        <f t="shared" si="7"/>
        <v>0.35000000000000003</v>
      </c>
      <c r="S17" s="127">
        <f t="shared" si="7"/>
        <v>0.35</v>
      </c>
      <c r="T17" s="127">
        <f t="shared" si="7"/>
        <v>0.35000000000000003</v>
      </c>
      <c r="U17" s="127">
        <f t="shared" si="7"/>
        <v>0</v>
      </c>
      <c r="V17" s="127">
        <f t="shared" si="7"/>
        <v>0</v>
      </c>
      <c r="W17" s="127">
        <f t="shared" si="7"/>
        <v>0.35000000000000003</v>
      </c>
      <c r="X17" s="127">
        <f t="shared" si="7"/>
        <v>0.35000000000000003</v>
      </c>
      <c r="Y17" s="127">
        <f t="shared" si="7"/>
        <v>0.35000000000000003</v>
      </c>
      <c r="Z17" s="127">
        <f t="shared" si="7"/>
        <v>0.35</v>
      </c>
      <c r="AA17" s="127">
        <f t="shared" si="7"/>
        <v>0.35000000000000003</v>
      </c>
      <c r="AB17" s="127">
        <f t="shared" si="7"/>
        <v>0</v>
      </c>
      <c r="AC17" s="127">
        <f t="shared" si="7"/>
        <v>0</v>
      </c>
      <c r="AD17" s="127">
        <f t="shared" si="7"/>
        <v>0.35000000000000003</v>
      </c>
      <c r="AE17" s="127">
        <f t="shared" si="7"/>
        <v>0.35000000000000003</v>
      </c>
      <c r="AF17" s="127">
        <f t="shared" si="7"/>
        <v>0.35000000000000003</v>
      </c>
      <c r="AG17" s="127">
        <f t="shared" si="7"/>
        <v>0.35</v>
      </c>
      <c r="AH17" s="127">
        <f t="shared" si="7"/>
        <v>0.35000000000000003</v>
      </c>
      <c r="AI17" s="127">
        <f t="shared" si="7"/>
        <v>0</v>
      </c>
      <c r="AJ17" s="128">
        <f t="shared" si="3"/>
        <v>7.6999999999999966</v>
      </c>
      <c r="AK17" s="131"/>
      <c r="AL17" s="121"/>
      <c r="AM17" s="121"/>
      <c r="AN17" s="122"/>
    </row>
    <row r="18" spans="1:46" s="123" customFormat="1" x14ac:dyDescent="0.2">
      <c r="B18" s="117"/>
      <c r="C18" s="132" t="str">
        <f>Januar!C18</f>
        <v>Mehr-/Minderleistung</v>
      </c>
      <c r="D18" s="133"/>
      <c r="E18" s="134">
        <f>ROUND(E14-E17,8)</f>
        <v>-0.35</v>
      </c>
      <c r="F18" s="135">
        <f>ROUND(F14-F17,8)</f>
        <v>-0.35</v>
      </c>
      <c r="G18" s="135">
        <f t="shared" ref="G18:AI18" si="8">ROUND(G14-G17,8)</f>
        <v>0</v>
      </c>
      <c r="H18" s="135">
        <f t="shared" si="8"/>
        <v>0</v>
      </c>
      <c r="I18" s="135">
        <f t="shared" si="8"/>
        <v>-0.35</v>
      </c>
      <c r="J18" s="135">
        <f t="shared" si="8"/>
        <v>-0.35</v>
      </c>
      <c r="K18" s="135">
        <f t="shared" si="8"/>
        <v>-0.35</v>
      </c>
      <c r="L18" s="135">
        <f t="shared" si="8"/>
        <v>-0.35</v>
      </c>
      <c r="M18" s="135">
        <f t="shared" si="8"/>
        <v>-0.35</v>
      </c>
      <c r="N18" s="135">
        <f t="shared" si="8"/>
        <v>0</v>
      </c>
      <c r="O18" s="135">
        <f t="shared" si="8"/>
        <v>0</v>
      </c>
      <c r="P18" s="135">
        <f t="shared" si="8"/>
        <v>-0.35</v>
      </c>
      <c r="Q18" s="135">
        <f t="shared" si="8"/>
        <v>-0.35</v>
      </c>
      <c r="R18" s="135">
        <f t="shared" si="8"/>
        <v>-0.35</v>
      </c>
      <c r="S18" s="135">
        <f t="shared" si="8"/>
        <v>-0.35</v>
      </c>
      <c r="T18" s="135">
        <f t="shared" si="8"/>
        <v>-0.35</v>
      </c>
      <c r="U18" s="135">
        <f t="shared" si="8"/>
        <v>0</v>
      </c>
      <c r="V18" s="135">
        <f t="shared" si="8"/>
        <v>0</v>
      </c>
      <c r="W18" s="135">
        <f t="shared" si="8"/>
        <v>-0.35</v>
      </c>
      <c r="X18" s="135">
        <f t="shared" si="8"/>
        <v>-0.35</v>
      </c>
      <c r="Y18" s="135">
        <f t="shared" si="8"/>
        <v>-0.35</v>
      </c>
      <c r="Z18" s="135">
        <f t="shared" si="8"/>
        <v>-0.35</v>
      </c>
      <c r="AA18" s="135">
        <f t="shared" si="8"/>
        <v>-0.35</v>
      </c>
      <c r="AB18" s="135">
        <f t="shared" si="8"/>
        <v>0</v>
      </c>
      <c r="AC18" s="135">
        <f t="shared" si="8"/>
        <v>0</v>
      </c>
      <c r="AD18" s="135">
        <f t="shared" si="8"/>
        <v>-0.35</v>
      </c>
      <c r="AE18" s="135">
        <f t="shared" si="8"/>
        <v>-0.35</v>
      </c>
      <c r="AF18" s="135">
        <f t="shared" si="8"/>
        <v>-0.35</v>
      </c>
      <c r="AG18" s="135">
        <f t="shared" si="8"/>
        <v>-0.35</v>
      </c>
      <c r="AH18" s="135">
        <f t="shared" si="8"/>
        <v>-0.35</v>
      </c>
      <c r="AI18" s="135">
        <f t="shared" si="8"/>
        <v>0</v>
      </c>
      <c r="AJ18" s="136">
        <f t="shared" si="3"/>
        <v>-7.6999999999999966</v>
      </c>
      <c r="AK18" s="137" t="s">
        <v>418</v>
      </c>
      <c r="AL18" s="121" t="s">
        <v>419</v>
      </c>
      <c r="AM18" s="121"/>
      <c r="AN18" s="122"/>
      <c r="AO18" s="122"/>
    </row>
    <row r="19" spans="1:46" s="138" customFormat="1" ht="24" x14ac:dyDescent="0.2">
      <c r="A19" s="781"/>
      <c r="B19" s="139" t="s">
        <v>420</v>
      </c>
      <c r="C19" s="1049" t="str">
        <f>Januar!C19</f>
        <v>Arbeitszeit-Saldo</v>
      </c>
      <c r="D19" s="903">
        <f ca="1">September!AJ19</f>
        <v>0</v>
      </c>
      <c r="E19" s="1050">
        <f ca="1">IF(E4&lt;&gt;"",IF(DATE($D$2,MONTH($C$2),E$4)&lt;=Eingabeblatt!$I$8,IF(OR(AND(E$86="JA",E14&gt;E16),AND(E86="JA",Eingabeblatt!$I$10="NEIN")),D19,D19+E18),IF(D19=0,0,IF(OR(COUNT(E7:E12,E22:E38)&gt;0,AND(COUNT(E7:E12,E22:E38)=0,E16=0)),IF(OR(AND(E$86="JA",E14&gt;E16),AND(E86="JA",Eingabeblatt!$I$10="NEIN")),D19,D19+E18),0))),D19)</f>
        <v>0</v>
      </c>
      <c r="F19" s="1051">
        <f ca="1">IF(F4&lt;&gt;"",IF(DATE($D$2,MONTH($C$2),F$4)&lt;=Eingabeblatt!$I$8,IF(OR(AND(F$86="JA",F14&gt;F16),AND(F86="JA",Eingabeblatt!$I$10="NEIN")),E19,E19+F18),IF(E19=0,0,IF(OR(COUNT(F7:F12,F22:F38)&gt;0,AND(COUNT(F7:F12,F22:F38)=0,F16=0)),IF(OR(AND(F$86="JA",F14&gt;F16),AND(F86="JA",Eingabeblatt!$I$10="NEIN")),E19,E19+F18),0))),E19)</f>
        <v>0</v>
      </c>
      <c r="G19" s="1051">
        <f ca="1">IF(G4&lt;&gt;"",IF(DATE($D$2,MONTH($C$2),G$4)&lt;=Eingabeblatt!$I$8,IF(OR(AND(G$86="JA",G14&gt;G16),AND(G86="JA",Eingabeblatt!$I$10="NEIN")),F19,F19+G18),IF(F19=0,0,IF(OR(COUNT(G7:G12,G22:G38)&gt;0,AND(COUNT(G7:G12,G22:G38)=0,G16=0)),IF(OR(AND(G$86="JA",G14&gt;G16),AND(G86="JA",Eingabeblatt!$I$10="NEIN")),F19,F19+G18),0))),F19)</f>
        <v>0</v>
      </c>
      <c r="H19" s="1051">
        <f ca="1">IF(H4&lt;&gt;"",IF(DATE($D$2,MONTH($C$2),H$4)&lt;=Eingabeblatt!$I$8,IF(OR(AND(H$86="JA",H14&gt;H16),AND(H86="JA",Eingabeblatt!$I$10="NEIN")),G19,G19+H18),IF(G19=0,0,IF(OR(COUNT(H7:H12,H22:H38)&gt;0,AND(COUNT(H7:H12,H22:H38)=0,H16=0)),IF(OR(AND(H$86="JA",H14&gt;H16),AND(H86="JA",Eingabeblatt!$I$10="NEIN")),G19,G19+H18),0))),G19)</f>
        <v>0</v>
      </c>
      <c r="I19" s="1051">
        <f ca="1">IF(I4&lt;&gt;"",IF(DATE($D$2,MONTH($C$2),I$4)&lt;=Eingabeblatt!$I$8,IF(OR(AND(I$86="JA",I14&gt;I16),AND(I86="JA",Eingabeblatt!$I$10="NEIN")),H19,H19+I18),IF(H19=0,0,IF(OR(COUNT(I7:I12,I22:I38)&gt;0,AND(COUNT(I7:I12,I22:I38)=0,I16=0)),IF(OR(AND(I$86="JA",I14&gt;I16),AND(I86="JA",Eingabeblatt!$I$10="NEIN")),H19,H19+I18),0))),H19)</f>
        <v>0</v>
      </c>
      <c r="J19" s="1051">
        <f ca="1">IF(J4&lt;&gt;"",IF(DATE($D$2,MONTH($C$2),J$4)&lt;=Eingabeblatt!$I$8,IF(OR(AND(J$86="JA",J14&gt;J16),AND(J86="JA",Eingabeblatt!$I$10="NEIN")),I19,I19+J18),IF(I19=0,0,IF(OR(COUNT(J7:J12,J22:J38)&gt;0,AND(COUNT(J7:J12,J22:J38)=0,J16=0)),IF(OR(AND(J$86="JA",J14&gt;J16),AND(J86="JA",Eingabeblatt!$I$10="NEIN")),I19,I19+J18),0))),I19)</f>
        <v>0</v>
      </c>
      <c r="K19" s="1051">
        <f ca="1">IF(K4&lt;&gt;"",IF(DATE($D$2,MONTH($C$2),K$4)&lt;=Eingabeblatt!$I$8,IF(OR(AND(K$86="JA",K14&gt;K16),AND(K86="JA",Eingabeblatt!$I$10="NEIN")),J19,J19+K18),IF(J19=0,0,IF(OR(COUNT(K7:K12,K22:K38)&gt;0,AND(COUNT(K7:K12,K22:K38)=0,K16=0)),IF(OR(AND(K$86="JA",K14&gt;K16),AND(K86="JA",Eingabeblatt!$I$10="NEIN")),J19,J19+K18),0))),J19)</f>
        <v>0</v>
      </c>
      <c r="L19" s="1051">
        <f ca="1">IF(L4&lt;&gt;"",IF(DATE($D$2,MONTH($C$2),L$4)&lt;=Eingabeblatt!$I$8,IF(OR(AND(L$86="JA",L14&gt;L16),AND(L86="JA",Eingabeblatt!$I$10="NEIN")),K19,K19+L18),IF(K19=0,0,IF(OR(COUNT(L7:L12,L22:L38)&gt;0,AND(COUNT(L7:L12,L22:L38)=0,L16=0)),IF(OR(AND(L$86="JA",L14&gt;L16),AND(L86="JA",Eingabeblatt!$I$10="NEIN")),K19,K19+L18),0))),K19)</f>
        <v>0</v>
      </c>
      <c r="M19" s="1051">
        <f ca="1">IF(M4&lt;&gt;"",IF(DATE($D$2,MONTH($C$2),M$4)&lt;=Eingabeblatt!$I$8,IF(OR(AND(M$86="JA",M14&gt;M16),AND(M86="JA",Eingabeblatt!$I$10="NEIN")),L19,L19+M18),IF(L19=0,0,IF(OR(COUNT(M7:M12,M22:M38)&gt;0,AND(COUNT(M7:M12,M22:M38)=0,M16=0)),IF(OR(AND(M$86="JA",M14&gt;M16),AND(M86="JA",Eingabeblatt!$I$10="NEIN")),L19,L19+M18),0))),L19)</f>
        <v>0</v>
      </c>
      <c r="N19" s="1051">
        <f ca="1">IF(N4&lt;&gt;"",IF(DATE($D$2,MONTH($C$2),N$4)&lt;=Eingabeblatt!$I$8,IF(OR(AND(N$86="JA",N14&gt;N16),AND(N86="JA",Eingabeblatt!$I$10="NEIN")),M19,M19+N18),IF(M19=0,0,IF(OR(COUNT(N7:N12,N22:N38)&gt;0,AND(COUNT(N7:N12,N22:N38)=0,N16=0)),IF(OR(AND(N$86="JA",N14&gt;N16),AND(N86="JA",Eingabeblatt!$I$10="NEIN")),M19,M19+N18),0))),M19)</f>
        <v>0</v>
      </c>
      <c r="O19" s="1051">
        <f ca="1">IF(O4&lt;&gt;"",IF(DATE($D$2,MONTH($C$2),O$4)&lt;=Eingabeblatt!$I$8,IF(OR(AND(O$86="JA",O14&gt;O16),AND(O86="JA",Eingabeblatt!$I$10="NEIN")),N19,N19+O18),IF(N19=0,0,IF(OR(COUNT(O7:O12,O22:O38)&gt;0,AND(COUNT(O7:O12,O22:O38)=0,O16=0)),IF(OR(AND(O$86="JA",O14&gt;O16),AND(O86="JA",Eingabeblatt!$I$10="NEIN")),N19,N19+O18),0))),N19)</f>
        <v>0</v>
      </c>
      <c r="P19" s="1051">
        <f ca="1">IF(P4&lt;&gt;"",IF(DATE($D$2,MONTH($C$2),P$4)&lt;=Eingabeblatt!$I$8,IF(OR(AND(P$86="JA",P14&gt;P16),AND(P86="JA",Eingabeblatt!$I$10="NEIN")),O19,O19+P18),IF(O19=0,0,IF(OR(COUNT(P7:P12,P22:P38)&gt;0,AND(COUNT(P7:P12,P22:P38)=0,P16=0)),IF(OR(AND(P$86="JA",P14&gt;P16),AND(P86="JA",Eingabeblatt!$I$10="NEIN")),O19,O19+P18),0))),O19)</f>
        <v>0</v>
      </c>
      <c r="Q19" s="1051">
        <f ca="1">IF(Q4&lt;&gt;"",IF(DATE($D$2,MONTH($C$2),Q$4)&lt;=Eingabeblatt!$I$8,IF(OR(AND(Q$86="JA",Q14&gt;Q16),AND(Q86="JA",Eingabeblatt!$I$10="NEIN")),P19,P19+Q18),IF(P19=0,0,IF(OR(COUNT(Q7:Q12,Q22:Q38)&gt;0,AND(COUNT(Q7:Q12,Q22:Q38)=0,Q16=0)),IF(OR(AND(Q$86="JA",Q14&gt;Q16),AND(Q86="JA",Eingabeblatt!$I$10="NEIN")),P19,P19+Q18),0))),P19)</f>
        <v>0</v>
      </c>
      <c r="R19" s="1051">
        <f ca="1">IF(R4&lt;&gt;"",IF(DATE($D$2,MONTH($C$2),R$4)&lt;=Eingabeblatt!$I$8,IF(OR(AND(R$86="JA",R14&gt;R16),AND(R86="JA",Eingabeblatt!$I$10="NEIN")),Q19,Q19+R18),IF(Q19=0,0,IF(OR(COUNT(R7:R12,R22:R38)&gt;0,AND(COUNT(R7:R12,R22:R38)=0,R16=0)),IF(OR(AND(R$86="JA",R14&gt;R16),AND(R86="JA",Eingabeblatt!$I$10="NEIN")),Q19,Q19+R18),0))),Q19)</f>
        <v>0</v>
      </c>
      <c r="S19" s="1051">
        <f ca="1">IF(S4&lt;&gt;"",IF(DATE($D$2,MONTH($C$2),S$4)&lt;=Eingabeblatt!$I$8,IF(OR(AND(S$86="JA",S14&gt;S16),AND(S86="JA",Eingabeblatt!$I$10="NEIN")),R19,R19+S18),IF(R19=0,0,IF(OR(COUNT(S7:S12,S22:S38)&gt;0,AND(COUNT(S7:S12,S22:S38)=0,S16=0)),IF(OR(AND(S$86="JA",S14&gt;S16),AND(S86="JA",Eingabeblatt!$I$10="NEIN")),R19,R19+S18),0))),R19)</f>
        <v>0</v>
      </c>
      <c r="T19" s="1051">
        <f ca="1">IF(T4&lt;&gt;"",IF(DATE($D$2,MONTH($C$2),T$4)&lt;=Eingabeblatt!$I$8,IF(OR(AND(T$86="JA",T14&gt;T16),AND(T86="JA",Eingabeblatt!$I$10="NEIN")),S19,S19+T18),IF(S19=0,0,IF(OR(COUNT(T7:T12,T22:T38)&gt;0,AND(COUNT(T7:T12,T22:T38)=0,T16=0)),IF(OR(AND(T$86="JA",T14&gt;T16),AND(T86="JA",Eingabeblatt!$I$10="NEIN")),S19,S19+T18),0))),S19)</f>
        <v>0</v>
      </c>
      <c r="U19" s="1051">
        <f ca="1">IF(U4&lt;&gt;"",IF(DATE($D$2,MONTH($C$2),U$4)&lt;=Eingabeblatt!$I$8,IF(OR(AND(U$86="JA",U14&gt;U16),AND(U86="JA",Eingabeblatt!$I$10="NEIN")),T19,T19+U18),IF(T19=0,0,IF(OR(COUNT(U7:U12,U22:U38)&gt;0,AND(COUNT(U7:U12,U22:U38)=0,U16=0)),IF(OR(AND(U$86="JA",U14&gt;U16),AND(U86="JA",Eingabeblatt!$I$10="NEIN")),T19,T19+U18),0))),T19)</f>
        <v>0</v>
      </c>
      <c r="V19" s="1051">
        <f ca="1">IF(V4&lt;&gt;"",IF(DATE($D$2,MONTH($C$2),V$4)&lt;=Eingabeblatt!$I$8,IF(OR(AND(V$86="JA",V14&gt;V16),AND(V86="JA",Eingabeblatt!$I$10="NEIN")),U19,U19+V18),IF(U19=0,0,IF(OR(COUNT(V7:V12,V22:V38)&gt;0,AND(COUNT(V7:V12,V22:V38)=0,V16=0)),IF(OR(AND(V$86="JA",V14&gt;V16),AND(V86="JA",Eingabeblatt!$I$10="NEIN")),U19,U19+V18),0))),U19)</f>
        <v>0</v>
      </c>
      <c r="W19" s="1051">
        <f ca="1">IF(W4&lt;&gt;"",IF(DATE($D$2,MONTH($C$2),W$4)&lt;=Eingabeblatt!$I$8,IF(OR(AND(W$86="JA",W14&gt;W16),AND(W86="JA",Eingabeblatt!$I$10="NEIN")),V19,V19+W18),IF(V19=0,0,IF(OR(COUNT(W7:W12,W22:W38)&gt;0,AND(COUNT(W7:W12,W22:W38)=0,W16=0)),IF(OR(AND(W$86="JA",W14&gt;W16),AND(W86="JA",Eingabeblatt!$I$10="NEIN")),V19,V19+W18),0))),V19)</f>
        <v>0</v>
      </c>
      <c r="X19" s="1051">
        <f ca="1">IF(X4&lt;&gt;"",IF(DATE($D$2,MONTH($C$2),X$4)&lt;=Eingabeblatt!$I$8,IF(OR(AND(X$86="JA",X14&gt;X16),AND(X86="JA",Eingabeblatt!$I$10="NEIN")),W19,W19+X18),IF(W19=0,0,IF(OR(COUNT(X7:X12,X22:X38)&gt;0,AND(COUNT(X7:X12,X22:X38)=0,X16=0)),IF(OR(AND(X$86="JA",X14&gt;X16),AND(X86="JA",Eingabeblatt!$I$10="NEIN")),W19,W19+X18),0))),W19)</f>
        <v>0</v>
      </c>
      <c r="Y19" s="1051">
        <f ca="1">IF(Y4&lt;&gt;"",IF(DATE($D$2,MONTH($C$2),Y$4)&lt;=Eingabeblatt!$I$8,IF(OR(AND(Y$86="JA",Y14&gt;Y16),AND(Y86="JA",Eingabeblatt!$I$10="NEIN")),X19,X19+Y18),IF(X19=0,0,IF(OR(COUNT(Y7:Y12,Y22:Y38)&gt;0,AND(COUNT(Y7:Y12,Y22:Y38)=0,Y16=0)),IF(OR(AND(Y$86="JA",Y14&gt;Y16),AND(Y86="JA",Eingabeblatt!$I$10="NEIN")),X19,X19+Y18),0))),X19)</f>
        <v>0</v>
      </c>
      <c r="Z19" s="1051">
        <f ca="1">IF(Z4&lt;&gt;"",IF(DATE($D$2,MONTH($C$2),Z$4)&lt;=Eingabeblatt!$I$8,IF(OR(AND(Z$86="JA",Z14&gt;Z16),AND(Z86="JA",Eingabeblatt!$I$10="NEIN")),Y19,Y19+Z18),IF(Y19=0,0,IF(OR(COUNT(Z7:Z12,Z22:Z38)&gt;0,AND(COUNT(Z7:Z12,Z22:Z38)=0,Z16=0)),IF(OR(AND(Z$86="JA",Z14&gt;Z16),AND(Z86="JA",Eingabeblatt!$I$10="NEIN")),Y19,Y19+Z18),0))),Y19)</f>
        <v>0</v>
      </c>
      <c r="AA19" s="1051">
        <f ca="1">IF(AA4&lt;&gt;"",IF(DATE($D$2,MONTH($C$2),AA$4)&lt;=Eingabeblatt!$I$8,IF(OR(AND(AA$86="JA",AA14&gt;AA16),AND(AA86="JA",Eingabeblatt!$I$10="NEIN")),Z19,Z19+AA18),IF(Z19=0,0,IF(OR(COUNT(AA7:AA12,AA22:AA38)&gt;0,AND(COUNT(AA7:AA12,AA22:AA38)=0,AA16=0)),IF(OR(AND(AA$86="JA",AA14&gt;AA16),AND(AA86="JA",Eingabeblatt!$I$10="NEIN")),Z19,Z19+AA18),0))),Z19)</f>
        <v>0</v>
      </c>
      <c r="AB19" s="1051">
        <f ca="1">IF(AB4&lt;&gt;"",IF(DATE($D$2,MONTH($C$2),AB$4)&lt;=Eingabeblatt!$I$8,IF(OR(AND(AB$86="JA",AB14&gt;AB16),AND(AB86="JA",Eingabeblatt!$I$10="NEIN")),AA19,AA19+AB18),IF(AA19=0,0,IF(OR(COUNT(AB7:AB12,AB22:AB38)&gt;0,AND(COUNT(AB7:AB12,AB22:AB38)=0,AB16=0)),IF(OR(AND(AB$86="JA",AB14&gt;AB16),AND(AB86="JA",Eingabeblatt!$I$10="NEIN")),AA19,AA19+AB18),0))),AA19)</f>
        <v>0</v>
      </c>
      <c r="AC19" s="1051">
        <f ca="1">IF(AC4&lt;&gt;"",IF(DATE($D$2,MONTH($C$2),AC$4)&lt;=Eingabeblatt!$I$8,IF(OR(AND(AC$86="JA",AC14&gt;AC16),AND(AC86="JA",Eingabeblatt!$I$10="NEIN")),AB19,AB19+AC18),IF(AB19=0,0,IF(OR(COUNT(AC7:AC12,AC22:AC38)&gt;0,AND(COUNT(AC7:AC12,AC22:AC38)=0,AC16=0)),IF(OR(AND(AC$86="JA",AC14&gt;AC16),AND(AC86="JA",Eingabeblatt!$I$10="NEIN")),AB19,AB19+AC18),0))),AB19)</f>
        <v>0</v>
      </c>
      <c r="AD19" s="1051">
        <f ca="1">IF(AD4&lt;&gt;"",IF(DATE($D$2,MONTH($C$2),AD$4)&lt;=Eingabeblatt!$I$8,IF(OR(AND(AD$86="JA",AD14&gt;AD16),AND(AD86="JA",Eingabeblatt!$I$10="NEIN")),AC19,AC19+AD18),IF(AC19=0,0,IF(OR(COUNT(AD7:AD12,AD22:AD38)&gt;0,AND(COUNT(AD7:AD12,AD22:AD38)=0,AD16=0)),IF(OR(AND(AD$86="JA",AD14&gt;AD16),AND(AD86="JA",Eingabeblatt!$I$10="NEIN")),AC19,AC19+AD18),0))),AC19)</f>
        <v>0</v>
      </c>
      <c r="AE19" s="1051">
        <f ca="1">IF(AE4&lt;&gt;"",IF(DATE($D$2,MONTH($C$2),AE$4)&lt;=Eingabeblatt!$I$8,IF(OR(AND(AE$86="JA",AE14&gt;AE16),AND(AE86="JA",Eingabeblatt!$I$10="NEIN")),AD19,AD19+AE18),IF(AD19=0,0,IF(OR(COUNT(AE7:AE12,AE22:AE38)&gt;0,AND(COUNT(AE7:AE12,AE22:AE38)=0,AE16=0)),IF(OR(AND(AE$86="JA",AE14&gt;AE16),AND(AE86="JA",Eingabeblatt!$I$10="NEIN")),AD19,AD19+AE18),0))),AD19)</f>
        <v>0</v>
      </c>
      <c r="AF19" s="1051">
        <f ca="1">IF(AF4&lt;&gt;"",IF(DATE($D$2,MONTH($C$2),AF$4)&lt;=Eingabeblatt!$I$8,IF(OR(AND(AF$86="JA",AF14&gt;AF16),AND(AF86="JA",Eingabeblatt!$I$10="NEIN")),AE19,AE19+AF18),IF(AE19=0,0,IF(OR(COUNT(AF7:AF12,AF22:AF38)&gt;0,AND(COUNT(AF7:AF12,AF22:AF38)=0,AF16=0)),IF(OR(AND(AF$86="JA",AF14&gt;AF16),AND(AF86="JA",Eingabeblatt!$I$10="NEIN")),AE19,AE19+AF18),0))),AE19)</f>
        <v>0</v>
      </c>
      <c r="AG19" s="1051">
        <f ca="1">IF(AG4&lt;&gt;"",IF(DATE($D$2,MONTH($C$2),AG$4)&lt;=Eingabeblatt!$I$8,IF(OR(AND(AG$86="JA",AG14&gt;AG16),AND(AG86="JA",Eingabeblatt!$I$10="NEIN")),AF19,AF19+AG18),IF(AF19=0,0,IF(OR(COUNT(AG7:AG12,AG22:AG38)&gt;0,AND(COUNT(AG7:AG12,AG22:AG38)=0,AG16=0)),IF(OR(AND(AG$86="JA",AG14&gt;AG16),AND(AG86="JA",Eingabeblatt!$I$10="NEIN")),AF19,AF19+AG18),0))),AF19)</f>
        <v>0</v>
      </c>
      <c r="AH19" s="1051">
        <f ca="1">IF(AH4&lt;&gt;"",IF(DATE($D$2,MONTH($C$2),AH$4)&lt;=Eingabeblatt!$I$8,IF(OR(AND(AH$86="JA",AH14&gt;AH16),AND(AH86="JA",Eingabeblatt!$I$10="NEIN")),AG19,AG19+AH18),IF(AG19=0,0,IF(OR(COUNT(AH7:AH12,AH22:AH38)&gt;0,AND(COUNT(AH7:AH12,AH22:AH38)=0,AH16=0)),IF(OR(AND(AH$86="JA",AH14&gt;AH16),AND(AH86="JA",Eingabeblatt!$I$10="NEIN")),AG19,AG19+AH18),0))),AG19)</f>
        <v>0</v>
      </c>
      <c r="AI19" s="1052">
        <f ca="1">IF(AI4&lt;&gt;"",IF(DATE($D$2,MONTH($C$2),AI$4)&lt;=Eingabeblatt!$I$8,IF(OR(AND(AI$86="JA",AI14&gt;AI16),AND(AI86="JA",Eingabeblatt!$I$10="NEIN")),AH19,AH19+AI18),IF(AH19=0,0,IF(OR(COUNT(AI7:AI12,AI22:AI38)&gt;0,AND(COUNT(AI7:AI12,AI22:AI38)=0,AI16=0)),IF(OR(AND(AI$86="JA",AI14&gt;AI16),AND(AI86="JA",Eingabeblatt!$I$10="NEIN")),AH19,AH19+AI18),0))),AH19)</f>
        <v>0</v>
      </c>
      <c r="AJ19" s="1053">
        <f ca="1">AI19</f>
        <v>0</v>
      </c>
      <c r="AK19" s="904">
        <f ca="1">AI19</f>
        <v>0</v>
      </c>
      <c r="AL19" s="905" t="s">
        <v>422</v>
      </c>
      <c r="AM19" s="905"/>
      <c r="AN19" s="906"/>
      <c r="AO19" s="781"/>
      <c r="AP19" s="781"/>
      <c r="AQ19" s="781"/>
      <c r="AR19" s="781"/>
      <c r="AS19" s="907"/>
      <c r="AT19" s="781"/>
    </row>
    <row r="20" spans="1:46" ht="22.5" hidden="1" customHeight="1" outlineLevel="1" x14ac:dyDescent="0.2">
      <c r="B20" s="143"/>
      <c r="C20" s="953" t="str">
        <f>Januar!C20</f>
        <v>Feiertagssaldo</v>
      </c>
      <c r="D20" s="954">
        <f>September!AJ20</f>
        <v>0</v>
      </c>
      <c r="E20" s="955">
        <f t="shared" ref="E20:AI20" si="9">IF(VLOOKUP(DATE($D$2,MONTH($C$2),E$4),Ferienanspruch,3,TRUE)=100,D20-E21,IF(VLOOKUP(DATE($D$2,MONTH($C$2),E$4),Feiertagsanspruch,6,TRUE)*24&lt;Normtagesarbeitszeit*24,IF((E17-E15)&lt;0,D20-E21+(E15-E17),IF(E17&gt;0,D20-E21,D20-E21+E15)),IF((E17-E15)&lt;0,D20-E21+(E15-E17),IF(E17&gt;0,D20-E21,D20-E21+E15))))</f>
        <v>0</v>
      </c>
      <c r="F20" s="956">
        <f t="shared" si="9"/>
        <v>0</v>
      </c>
      <c r="G20" s="956">
        <f t="shared" si="9"/>
        <v>0</v>
      </c>
      <c r="H20" s="956">
        <f t="shared" si="9"/>
        <v>0</v>
      </c>
      <c r="I20" s="956">
        <f t="shared" si="9"/>
        <v>0</v>
      </c>
      <c r="J20" s="956">
        <f t="shared" si="9"/>
        <v>0</v>
      </c>
      <c r="K20" s="956">
        <f t="shared" si="9"/>
        <v>0</v>
      </c>
      <c r="L20" s="956">
        <f t="shared" si="9"/>
        <v>0</v>
      </c>
      <c r="M20" s="956">
        <f t="shared" si="9"/>
        <v>0</v>
      </c>
      <c r="N20" s="956">
        <f t="shared" si="9"/>
        <v>0</v>
      </c>
      <c r="O20" s="956">
        <f t="shared" si="9"/>
        <v>0</v>
      </c>
      <c r="P20" s="956">
        <f t="shared" si="9"/>
        <v>0</v>
      </c>
      <c r="Q20" s="956">
        <f t="shared" si="9"/>
        <v>0</v>
      </c>
      <c r="R20" s="956">
        <f t="shared" si="9"/>
        <v>0</v>
      </c>
      <c r="S20" s="956">
        <f t="shared" si="9"/>
        <v>0</v>
      </c>
      <c r="T20" s="956">
        <f t="shared" si="9"/>
        <v>0</v>
      </c>
      <c r="U20" s="956">
        <f t="shared" si="9"/>
        <v>0</v>
      </c>
      <c r="V20" s="956">
        <f t="shared" si="9"/>
        <v>0</v>
      </c>
      <c r="W20" s="956">
        <f t="shared" si="9"/>
        <v>0</v>
      </c>
      <c r="X20" s="956">
        <f t="shared" si="9"/>
        <v>0</v>
      </c>
      <c r="Y20" s="956">
        <f t="shared" si="9"/>
        <v>0</v>
      </c>
      <c r="Z20" s="956">
        <f t="shared" si="9"/>
        <v>0</v>
      </c>
      <c r="AA20" s="956">
        <f t="shared" si="9"/>
        <v>0</v>
      </c>
      <c r="AB20" s="956">
        <f t="shared" si="9"/>
        <v>0</v>
      </c>
      <c r="AC20" s="956">
        <f t="shared" si="9"/>
        <v>0</v>
      </c>
      <c r="AD20" s="956">
        <f t="shared" si="9"/>
        <v>0</v>
      </c>
      <c r="AE20" s="956">
        <f t="shared" si="9"/>
        <v>0</v>
      </c>
      <c r="AF20" s="956">
        <f t="shared" si="9"/>
        <v>0</v>
      </c>
      <c r="AG20" s="956">
        <f t="shared" si="9"/>
        <v>0</v>
      </c>
      <c r="AH20" s="956">
        <f t="shared" si="9"/>
        <v>0</v>
      </c>
      <c r="AI20" s="957">
        <f t="shared" si="9"/>
        <v>0</v>
      </c>
      <c r="AJ20" s="142">
        <f>AI20</f>
        <v>0</v>
      </c>
      <c r="AK20" s="912">
        <f>AJ20</f>
        <v>0</v>
      </c>
      <c r="AL20" s="141" t="s">
        <v>423</v>
      </c>
      <c r="AM20" s="91"/>
      <c r="AN20" s="113"/>
      <c r="AO20" s="113"/>
      <c r="AP20" s="113"/>
      <c r="AQ20" s="89"/>
      <c r="AR20" s="89"/>
    </row>
    <row r="21" spans="1:46" s="88" customFormat="1" hidden="1" outlineLevel="1" x14ac:dyDescent="0.2">
      <c r="A21" s="88" t="s">
        <v>424</v>
      </c>
      <c r="B21" s="143"/>
      <c r="C21" s="1054" t="str">
        <f>Januar!C21</f>
        <v>Komp.Feiertg.f.Teilzeiter</v>
      </c>
      <c r="D21" s="1055"/>
      <c r="E21" s="1056"/>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8"/>
      <c r="AJ21" s="1059">
        <f>SUM(D21:AI21)</f>
        <v>0</v>
      </c>
      <c r="AK21" s="1060">
        <f>AJ21</f>
        <v>0</v>
      </c>
      <c r="AL21" s="144" t="s">
        <v>359</v>
      </c>
      <c r="AM21" s="145"/>
      <c r="AN21" s="146"/>
      <c r="AO21" s="146"/>
      <c r="AP21" s="146"/>
      <c r="AQ21" s="147"/>
      <c r="AR21" s="147"/>
      <c r="AT21" s="8"/>
    </row>
    <row r="22" spans="1:46" s="88" customFormat="1" collapsed="1" x14ac:dyDescent="0.2">
      <c r="A22" s="148"/>
      <c r="B22" s="143"/>
      <c r="C22" s="149" t="str">
        <f>Januar!C22</f>
        <v>Ferienbezug</v>
      </c>
      <c r="D22" s="150">
        <f>September!AK22</f>
        <v>8.0500000000000007</v>
      </c>
      <c r="E22" s="913"/>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322"/>
      <c r="AJ22" s="151">
        <f>SUM(E22:AI22)</f>
        <v>0</v>
      </c>
      <c r="AK22" s="152">
        <f>ROUND(D22-AJ22,8)</f>
        <v>8.0500000000000007</v>
      </c>
      <c r="AL22" s="144" t="s">
        <v>425</v>
      </c>
      <c r="AM22" s="145" t="s">
        <v>426</v>
      </c>
      <c r="AN22" s="146"/>
      <c r="AO22" s="146"/>
      <c r="AP22" s="146"/>
      <c r="AQ22" s="147"/>
      <c r="AR22" s="147"/>
    </row>
    <row r="23" spans="1:46" s="88" customFormat="1" ht="22.5" hidden="1" customHeight="1" outlineLevel="1" x14ac:dyDescent="0.2">
      <c r="A23" s="148"/>
      <c r="B23" s="153">
        <f>Eingabeblatt!E29</f>
        <v>0</v>
      </c>
      <c r="C23" s="154" t="str">
        <f>Januar!C23</f>
        <v>Kompens. Arbeitszeit</v>
      </c>
      <c r="D23" s="155">
        <f>September!AK23</f>
        <v>0</v>
      </c>
      <c r="E23" s="913"/>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322"/>
      <c r="AJ23" s="151">
        <f>SUM(E23:AI23)</f>
        <v>0</v>
      </c>
      <c r="AK23" s="152">
        <f>IF(B23="",0,ROUND(B23+D23-AJ23,8))</f>
        <v>0</v>
      </c>
      <c r="AL23" s="144" t="s">
        <v>425</v>
      </c>
      <c r="AM23" s="145"/>
      <c r="AN23" s="146"/>
      <c r="AO23" s="692"/>
      <c r="AP23" s="146"/>
      <c r="AQ23" s="147"/>
      <c r="AR23" s="147"/>
    </row>
    <row r="24" spans="1:46" s="88" customFormat="1" ht="22.5" hidden="1" customHeight="1" outlineLevel="1" x14ac:dyDescent="0.2">
      <c r="A24" s="148" t="s">
        <v>424</v>
      </c>
      <c r="B24" s="156"/>
      <c r="C24" s="154" t="str">
        <f>Januar!C24</f>
        <v>Kompens. Überzeit</v>
      </c>
      <c r="D24" s="150">
        <f>September!AK24</f>
        <v>0</v>
      </c>
      <c r="E24" s="913"/>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322"/>
      <c r="AJ24" s="151">
        <f>SUM(E24:AI24)</f>
        <v>0</v>
      </c>
      <c r="AK24" s="152">
        <f>ROUND(D24+AJ85-AJ24,8)</f>
        <v>0</v>
      </c>
      <c r="AL24" s="157" t="s">
        <v>428</v>
      </c>
      <c r="AM24" s="145" t="s">
        <v>429</v>
      </c>
      <c r="AN24" s="146"/>
      <c r="AO24" s="692"/>
      <c r="AP24" s="146"/>
      <c r="AQ24" s="147"/>
      <c r="AR24" s="147"/>
    </row>
    <row r="25" spans="1:46" s="88" customFormat="1" collapsed="1" x14ac:dyDescent="0.2">
      <c r="A25" s="148"/>
      <c r="B25" s="156"/>
      <c r="C25" s="154" t="str">
        <f>Januar!C25</f>
        <v>Krankheit</v>
      </c>
      <c r="D25" s="158">
        <f>September!AK25</f>
        <v>0</v>
      </c>
      <c r="E25" s="913"/>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322"/>
      <c r="AJ25" s="151">
        <f>SUM(E25:AI25)</f>
        <v>0</v>
      </c>
      <c r="AK25" s="152">
        <f t="shared" ref="AK25:AK30" si="10">ROUND(B25+D25+AJ25,8)</f>
        <v>0</v>
      </c>
      <c r="AL25" s="144" t="s">
        <v>359</v>
      </c>
      <c r="AM25" s="145"/>
      <c r="AN25" s="146"/>
      <c r="AO25" s="146"/>
      <c r="AP25" s="147"/>
      <c r="AQ25" s="147"/>
      <c r="AR25" s="147"/>
    </row>
    <row r="26" spans="1:46" s="88" customFormat="1" x14ac:dyDescent="0.2">
      <c r="A26" s="148"/>
      <c r="B26" s="156"/>
      <c r="C26" s="154" t="str">
        <f>Januar!C26</f>
        <v>Unfall</v>
      </c>
      <c r="D26" s="158">
        <f>September!AK26</f>
        <v>0</v>
      </c>
      <c r="E26" s="913"/>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322"/>
      <c r="AJ26" s="151">
        <f>SUM(E26:AI26)</f>
        <v>0</v>
      </c>
      <c r="AK26" s="152">
        <f t="shared" si="10"/>
        <v>0</v>
      </c>
      <c r="AL26" s="144" t="s">
        <v>359</v>
      </c>
      <c r="AM26" s="145" t="s">
        <v>430</v>
      </c>
      <c r="AN26" s="146"/>
      <c r="AO26" s="146"/>
      <c r="AP26" s="146"/>
      <c r="AQ26" s="147"/>
      <c r="AR26" s="147"/>
    </row>
    <row r="27" spans="1:46" s="88" customFormat="1" x14ac:dyDescent="0.2">
      <c r="A27" s="148"/>
      <c r="B27" s="156"/>
      <c r="C27" s="154" t="str">
        <f>Januar!C27</f>
        <v>Militär / Zivildienst</v>
      </c>
      <c r="D27" s="158">
        <f>September!AK27</f>
        <v>0</v>
      </c>
      <c r="E27" s="913"/>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322"/>
      <c r="AJ27" s="151">
        <f t="shared" ref="AJ27:AJ35" si="11">SUM(E27:AI27)</f>
        <v>0</v>
      </c>
      <c r="AK27" s="152">
        <f t="shared" si="10"/>
        <v>0</v>
      </c>
      <c r="AL27" s="144" t="s">
        <v>359</v>
      </c>
      <c r="AM27" s="145"/>
      <c r="AN27" s="146"/>
      <c r="AO27" s="146"/>
      <c r="AP27" s="147"/>
      <c r="AQ27" s="147"/>
      <c r="AR27" s="147"/>
    </row>
    <row r="28" spans="1:46" s="88" customFormat="1" ht="22.5" hidden="1" customHeight="1" outlineLevel="2" x14ac:dyDescent="0.2">
      <c r="A28" s="148" t="s">
        <v>424</v>
      </c>
      <c r="B28" s="156"/>
      <c r="C28" s="154" t="str">
        <f>Januar!C28</f>
        <v>Nichtberufsunfall</v>
      </c>
      <c r="D28" s="158">
        <f>September!AK28</f>
        <v>0</v>
      </c>
      <c r="E28" s="913"/>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322"/>
      <c r="AJ28" s="151">
        <f t="shared" si="11"/>
        <v>0</v>
      </c>
      <c r="AK28" s="152">
        <f t="shared" si="10"/>
        <v>0</v>
      </c>
      <c r="AL28" s="157" t="s">
        <v>359</v>
      </c>
      <c r="AM28" s="145"/>
      <c r="AN28" s="146"/>
      <c r="AO28" s="692"/>
      <c r="AP28" s="146"/>
      <c r="AQ28" s="147"/>
      <c r="AR28" s="147"/>
    </row>
    <row r="29" spans="1:46" s="88" customFormat="1" collapsed="1" x14ac:dyDescent="0.2">
      <c r="A29" s="148"/>
      <c r="B29" s="156"/>
      <c r="C29" s="154" t="str">
        <f>Januar!C29</f>
        <v>Weiterbildung</v>
      </c>
      <c r="D29" s="158">
        <f>September!AK29</f>
        <v>0</v>
      </c>
      <c r="E29" s="913"/>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322"/>
      <c r="AJ29" s="151">
        <f t="shared" si="11"/>
        <v>0</v>
      </c>
      <c r="AK29" s="152">
        <f t="shared" si="10"/>
        <v>0</v>
      </c>
      <c r="AL29" s="144" t="s">
        <v>359</v>
      </c>
      <c r="AM29" s="145"/>
      <c r="AN29" s="146"/>
      <c r="AO29" s="146"/>
      <c r="AP29" s="147"/>
      <c r="AQ29" s="147"/>
      <c r="AR29" s="147"/>
    </row>
    <row r="30" spans="1:46" s="88" customFormat="1" x14ac:dyDescent="0.2">
      <c r="A30" s="148"/>
      <c r="B30" s="156"/>
      <c r="C30" s="154" t="str">
        <f>Januar!C30</f>
        <v>Unbezahlter Urlaub</v>
      </c>
      <c r="D30" s="158">
        <f>September!AK30</f>
        <v>0</v>
      </c>
      <c r="E30" s="913"/>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322"/>
      <c r="AJ30" s="151">
        <f t="shared" si="11"/>
        <v>0</v>
      </c>
      <c r="AK30" s="152">
        <f t="shared" si="10"/>
        <v>0</v>
      </c>
      <c r="AL30" s="144" t="s">
        <v>359</v>
      </c>
      <c r="AM30" s="145"/>
      <c r="AN30" s="146"/>
      <c r="AO30" s="146"/>
      <c r="AP30" s="147"/>
      <c r="AQ30" s="147"/>
      <c r="AR30" s="147"/>
    </row>
    <row r="31" spans="1:46" s="88" customFormat="1" x14ac:dyDescent="0.2">
      <c r="A31" s="148"/>
      <c r="B31" s="159">
        <f>IF(Eingabeblatt!C183="OK",Eingabeblatt!A183,"  Fehler")</f>
        <v>0</v>
      </c>
      <c r="C31" s="154" t="str">
        <f>Januar!C31</f>
        <v>Bezahlter Urlaub</v>
      </c>
      <c r="D31" s="158">
        <f>September!AK31</f>
        <v>0</v>
      </c>
      <c r="E31" s="913"/>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322"/>
      <c r="AJ31" s="151">
        <f t="shared" si="11"/>
        <v>0</v>
      </c>
      <c r="AK31" s="160">
        <f>ROUND(B31+D31-AJ31,8)</f>
        <v>0</v>
      </c>
      <c r="AL31" s="144" t="s">
        <v>425</v>
      </c>
      <c r="AM31" s="145"/>
      <c r="AN31" s="146"/>
      <c r="AO31" s="146"/>
      <c r="AP31" s="147"/>
      <c r="AQ31" s="147"/>
      <c r="AR31" s="147"/>
    </row>
    <row r="32" spans="1:46" s="88" customFormat="1" x14ac:dyDescent="0.2">
      <c r="A32" s="148"/>
      <c r="B32" s="159">
        <f>IF(Eingabeblatt!C184="OK",Eingabeblatt!A184,"  Fehler")</f>
        <v>0</v>
      </c>
      <c r="C32" s="161" t="str">
        <f>Januar!C32</f>
        <v>Kaderarbeitszeit</v>
      </c>
      <c r="D32" s="162">
        <f>September!AK32</f>
        <v>0</v>
      </c>
      <c r="E32" s="914"/>
      <c r="F32" s="915"/>
      <c r="G32" s="915"/>
      <c r="H32" s="915"/>
      <c r="I32" s="915"/>
      <c r="J32" s="915"/>
      <c r="K32" s="915"/>
      <c r="L32" s="915"/>
      <c r="M32" s="915"/>
      <c r="N32" s="915"/>
      <c r="O32" s="915"/>
      <c r="P32" s="915"/>
      <c r="Q32" s="915"/>
      <c r="R32" s="915"/>
      <c r="S32" s="915"/>
      <c r="T32" s="915"/>
      <c r="U32" s="915"/>
      <c r="V32" s="915"/>
      <c r="W32" s="915"/>
      <c r="X32" s="915"/>
      <c r="Y32" s="915"/>
      <c r="Z32" s="915"/>
      <c r="AA32" s="915"/>
      <c r="AB32" s="915"/>
      <c r="AC32" s="915"/>
      <c r="AD32" s="915"/>
      <c r="AE32" s="915"/>
      <c r="AF32" s="915"/>
      <c r="AG32" s="915"/>
      <c r="AH32" s="915"/>
      <c r="AI32" s="916"/>
      <c r="AJ32" s="163">
        <f t="shared" si="11"/>
        <v>0</v>
      </c>
      <c r="AK32" s="164">
        <f>ROUND(B32+D32-AJ32,8)</f>
        <v>0</v>
      </c>
      <c r="AL32" s="157" t="s">
        <v>425</v>
      </c>
      <c r="AM32" s="145"/>
      <c r="AN32" s="146"/>
      <c r="AO32" s="146"/>
      <c r="AP32" s="146"/>
      <c r="AQ32" s="147"/>
      <c r="AR32" s="147"/>
    </row>
    <row r="33" spans="1:46" ht="22.5" hidden="1" customHeight="1" outlineLevel="1" x14ac:dyDescent="0.2">
      <c r="A33" s="165" t="s">
        <v>424</v>
      </c>
      <c r="B33" s="156">
        <f>IF(Eingabeblatt!C185="OK",Eingabeblatt!A185,"  Fehler")</f>
        <v>0</v>
      </c>
      <c r="C33" s="166" t="str">
        <f>Januar!C33</f>
        <v>Nebenbeschäftigung</v>
      </c>
      <c r="D33" s="162"/>
      <c r="E33" s="167"/>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9"/>
      <c r="AJ33" s="140">
        <f t="shared" si="11"/>
        <v>0</v>
      </c>
      <c r="AK33" s="917">
        <f>ROUND(B33+D33-AJ33,8)</f>
        <v>0</v>
      </c>
      <c r="AL33" s="157" t="s">
        <v>425</v>
      </c>
      <c r="AM33" s="91"/>
      <c r="AN33" s="113"/>
      <c r="AO33" s="692"/>
      <c r="AP33" s="113"/>
      <c r="AQ33" s="89"/>
      <c r="AR33" s="89"/>
      <c r="AT33" s="88"/>
    </row>
    <row r="34" spans="1:46" ht="22.5" hidden="1" customHeight="1" outlineLevel="1" x14ac:dyDescent="0.2">
      <c r="A34" s="165"/>
      <c r="B34" s="156">
        <f>IF(Eingabeblatt!C182="OK",Eingabeblatt!A182,"  Fehler")</f>
        <v>0</v>
      </c>
      <c r="C34" s="170" t="str">
        <f>Januar!C34</f>
        <v>D A G</v>
      </c>
      <c r="D34" s="162">
        <f>September!AK34</f>
        <v>0</v>
      </c>
      <c r="E34" s="171"/>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3"/>
      <c r="AJ34" s="174">
        <f>SUM(E34:AI34)</f>
        <v>0</v>
      </c>
      <c r="AK34" s="152">
        <f>ROUND(B34+D34-AJ34,8)</f>
        <v>0</v>
      </c>
      <c r="AL34" s="157" t="s">
        <v>425</v>
      </c>
      <c r="AM34" s="91"/>
      <c r="AN34" s="113"/>
      <c r="AO34" s="692"/>
      <c r="AP34" s="113"/>
      <c r="AQ34" s="89"/>
      <c r="AR34" s="89"/>
    </row>
    <row r="35" spans="1:46" ht="22.5" hidden="1" customHeight="1" outlineLevel="1" x14ac:dyDescent="0.2">
      <c r="A35" s="165" t="s">
        <v>424</v>
      </c>
      <c r="B35" s="156"/>
      <c r="C35" s="170" t="str">
        <f>Januar!C35</f>
        <v>Diverses</v>
      </c>
      <c r="D35" s="162"/>
      <c r="E35" s="171"/>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c r="AJ35" s="174">
        <f t="shared" si="11"/>
        <v>0</v>
      </c>
      <c r="AK35" s="152">
        <f>ROUND(B35+D35+AJ35,8)</f>
        <v>0</v>
      </c>
      <c r="AL35" s="157" t="s">
        <v>359</v>
      </c>
      <c r="AM35" s="91"/>
      <c r="AN35" s="113"/>
      <c r="AO35" s="692"/>
      <c r="AP35" s="113"/>
      <c r="AQ35" s="89"/>
      <c r="AR35" s="89"/>
    </row>
    <row r="36" spans="1:46" ht="22.5" hidden="1" customHeight="1" outlineLevel="1" x14ac:dyDescent="0.2">
      <c r="A36" s="165" t="s">
        <v>424</v>
      </c>
      <c r="B36" s="156"/>
      <c r="C36" s="170" t="str">
        <f>Januar!C36</f>
        <v>freie Zeile 1</v>
      </c>
      <c r="D36" s="162"/>
      <c r="E36" s="171"/>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c r="AJ36" s="174">
        <f>SUM(E36:AI36)</f>
        <v>0</v>
      </c>
      <c r="AK36" s="152">
        <f>ROUND(B36+D36+AJ36,8)</f>
        <v>0</v>
      </c>
      <c r="AL36" s="157" t="s">
        <v>359</v>
      </c>
      <c r="AM36" s="91"/>
      <c r="AN36" s="113"/>
      <c r="AO36" s="692"/>
      <c r="AP36" s="113"/>
      <c r="AQ36" s="89"/>
      <c r="AR36" s="89"/>
    </row>
    <row r="37" spans="1:46" ht="22.5" hidden="1" customHeight="1" outlineLevel="1" x14ac:dyDescent="0.2">
      <c r="A37" s="165" t="s">
        <v>424</v>
      </c>
      <c r="B37" s="156"/>
      <c r="C37" s="170" t="str">
        <f>Januar!C37</f>
        <v>freie Zeile 2</v>
      </c>
      <c r="D37" s="162"/>
      <c r="E37" s="171"/>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3"/>
      <c r="AJ37" s="174">
        <f>SUM(E37:AI37)</f>
        <v>0</v>
      </c>
      <c r="AK37" s="152">
        <f>ROUND(B37+D37+AJ37,8)</f>
        <v>0</v>
      </c>
      <c r="AL37" s="157" t="s">
        <v>359</v>
      </c>
      <c r="AM37" s="91"/>
      <c r="AN37" s="113"/>
      <c r="AO37" s="692"/>
      <c r="AP37" s="113"/>
      <c r="AQ37" s="89"/>
      <c r="AR37" s="89"/>
    </row>
    <row r="38" spans="1:46" ht="22.5" hidden="1" customHeight="1" outlineLevel="1" x14ac:dyDescent="0.2">
      <c r="A38" s="165" t="s">
        <v>424</v>
      </c>
      <c r="B38" s="156"/>
      <c r="C38" s="175" t="str">
        <f>Januar!C38</f>
        <v>freie Zeile 3</v>
      </c>
      <c r="D38" s="162"/>
      <c r="E38" s="176"/>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8"/>
      <c r="AJ38" s="142">
        <f>SUM(E38:AI38)</f>
        <v>0</v>
      </c>
      <c r="AK38" s="912">
        <f>ROUND(B38+D38+AJ38,8)</f>
        <v>0</v>
      </c>
      <c r="AL38" s="157" t="s">
        <v>359</v>
      </c>
      <c r="AM38" s="91"/>
      <c r="AN38" s="113"/>
      <c r="AO38" s="692"/>
      <c r="AP38" s="113"/>
      <c r="AQ38" s="89"/>
      <c r="AR38" s="89"/>
    </row>
    <row r="39" spans="1:46" s="34" customFormat="1" hidden="1" outlineLevel="1" x14ac:dyDescent="0.2">
      <c r="A39" s="179"/>
      <c r="B39" s="180"/>
      <c r="C39" s="918" t="str">
        <f>Januar!C39</f>
        <v>Arbeitszeit aufgeteilt</v>
      </c>
      <c r="D39" s="1061"/>
      <c r="E39" s="1062">
        <f>ROUND(SUM(E41:E84),8)</f>
        <v>0</v>
      </c>
      <c r="F39" s="1063">
        <f>ROUND(SUM(F41:F84),8)</f>
        <v>0</v>
      </c>
      <c r="G39" s="1063">
        <f>ROUND(SUM(G41:G84),8)</f>
        <v>0</v>
      </c>
      <c r="H39" s="1063">
        <f t="shared" ref="H39:AI39" si="12">ROUND(SUM(H41:H84),8)</f>
        <v>0</v>
      </c>
      <c r="I39" s="1063">
        <f t="shared" si="12"/>
        <v>0</v>
      </c>
      <c r="J39" s="1063">
        <f t="shared" si="12"/>
        <v>0</v>
      </c>
      <c r="K39" s="1063">
        <f t="shared" si="12"/>
        <v>0</v>
      </c>
      <c r="L39" s="1063">
        <f t="shared" si="12"/>
        <v>0</v>
      </c>
      <c r="M39" s="1063">
        <f t="shared" si="12"/>
        <v>0</v>
      </c>
      <c r="N39" s="1063">
        <f t="shared" si="12"/>
        <v>0</v>
      </c>
      <c r="O39" s="1063">
        <f t="shared" si="12"/>
        <v>0</v>
      </c>
      <c r="P39" s="1063">
        <f t="shared" si="12"/>
        <v>0</v>
      </c>
      <c r="Q39" s="1063">
        <f t="shared" si="12"/>
        <v>0</v>
      </c>
      <c r="R39" s="1063">
        <f t="shared" si="12"/>
        <v>0</v>
      </c>
      <c r="S39" s="1063">
        <f t="shared" si="12"/>
        <v>0</v>
      </c>
      <c r="T39" s="1063">
        <f t="shared" si="12"/>
        <v>0</v>
      </c>
      <c r="U39" s="1063">
        <f t="shared" si="12"/>
        <v>0</v>
      </c>
      <c r="V39" s="1063">
        <f t="shared" si="12"/>
        <v>0</v>
      </c>
      <c r="W39" s="1063">
        <f t="shared" si="12"/>
        <v>0</v>
      </c>
      <c r="X39" s="1063">
        <f t="shared" si="12"/>
        <v>0</v>
      </c>
      <c r="Y39" s="1063">
        <f t="shared" si="12"/>
        <v>0</v>
      </c>
      <c r="Z39" s="1063">
        <f t="shared" si="12"/>
        <v>0</v>
      </c>
      <c r="AA39" s="1063">
        <f t="shared" si="12"/>
        <v>0</v>
      </c>
      <c r="AB39" s="1063">
        <f t="shared" si="12"/>
        <v>0</v>
      </c>
      <c r="AC39" s="1063">
        <f t="shared" si="12"/>
        <v>0</v>
      </c>
      <c r="AD39" s="1063">
        <f t="shared" si="12"/>
        <v>0</v>
      </c>
      <c r="AE39" s="1063">
        <f t="shared" si="12"/>
        <v>0</v>
      </c>
      <c r="AF39" s="1063">
        <f t="shared" si="12"/>
        <v>0</v>
      </c>
      <c r="AG39" s="1063">
        <f t="shared" si="12"/>
        <v>0</v>
      </c>
      <c r="AH39" s="1063">
        <f t="shared" si="12"/>
        <v>0</v>
      </c>
      <c r="AI39" s="1064">
        <f t="shared" si="12"/>
        <v>0</v>
      </c>
      <c r="AJ39" s="969"/>
      <c r="AK39" s="1065"/>
      <c r="AL39" s="13"/>
      <c r="AM39" s="181"/>
      <c r="AN39" s="182"/>
      <c r="AT39" s="8"/>
    </row>
    <row r="40" spans="1:46" s="34" customFormat="1" ht="42" customHeight="1" collapsed="1" x14ac:dyDescent="0.2">
      <c r="A40" s="179"/>
      <c r="B40" s="180"/>
      <c r="C40" s="919" t="str">
        <f>Januar!C40</f>
        <v>in folgenden Bereichen nicht oder zuviel aufgeteilte Arbeitszeit</v>
      </c>
      <c r="D40" s="920"/>
      <c r="E40" s="921">
        <f t="shared" ref="E40:AI40" si="13">ROUND(IF(E13=E39,0,IF(E13&lt;&gt;0,E13-E39,0)),8)</f>
        <v>0</v>
      </c>
      <c r="F40" s="922">
        <f t="shared" si="13"/>
        <v>0</v>
      </c>
      <c r="G40" s="922">
        <f t="shared" si="13"/>
        <v>0</v>
      </c>
      <c r="H40" s="922">
        <f t="shared" si="13"/>
        <v>0</v>
      </c>
      <c r="I40" s="922">
        <f t="shared" si="13"/>
        <v>0</v>
      </c>
      <c r="J40" s="922">
        <f t="shared" si="13"/>
        <v>0</v>
      </c>
      <c r="K40" s="922">
        <f t="shared" si="13"/>
        <v>0</v>
      </c>
      <c r="L40" s="922">
        <f t="shared" si="13"/>
        <v>0</v>
      </c>
      <c r="M40" s="922">
        <f t="shared" si="13"/>
        <v>0</v>
      </c>
      <c r="N40" s="922">
        <f t="shared" si="13"/>
        <v>0</v>
      </c>
      <c r="O40" s="922">
        <f t="shared" si="13"/>
        <v>0</v>
      </c>
      <c r="P40" s="922">
        <f t="shared" si="13"/>
        <v>0</v>
      </c>
      <c r="Q40" s="922">
        <f t="shared" si="13"/>
        <v>0</v>
      </c>
      <c r="R40" s="922">
        <f t="shared" si="13"/>
        <v>0</v>
      </c>
      <c r="S40" s="922">
        <f t="shared" si="13"/>
        <v>0</v>
      </c>
      <c r="T40" s="922">
        <f t="shared" si="13"/>
        <v>0</v>
      </c>
      <c r="U40" s="922">
        <f t="shared" si="13"/>
        <v>0</v>
      </c>
      <c r="V40" s="922">
        <f t="shared" si="13"/>
        <v>0</v>
      </c>
      <c r="W40" s="922">
        <f t="shared" si="13"/>
        <v>0</v>
      </c>
      <c r="X40" s="922">
        <f t="shared" si="13"/>
        <v>0</v>
      </c>
      <c r="Y40" s="922">
        <f t="shared" si="13"/>
        <v>0</v>
      </c>
      <c r="Z40" s="922">
        <f t="shared" si="13"/>
        <v>0</v>
      </c>
      <c r="AA40" s="922">
        <f t="shared" si="13"/>
        <v>0</v>
      </c>
      <c r="AB40" s="922">
        <f t="shared" si="13"/>
        <v>0</v>
      </c>
      <c r="AC40" s="922">
        <f t="shared" si="13"/>
        <v>0</v>
      </c>
      <c r="AD40" s="922">
        <f t="shared" si="13"/>
        <v>0</v>
      </c>
      <c r="AE40" s="922">
        <f t="shared" si="13"/>
        <v>0</v>
      </c>
      <c r="AF40" s="922">
        <f t="shared" si="13"/>
        <v>0</v>
      </c>
      <c r="AG40" s="922">
        <f t="shared" si="13"/>
        <v>0</v>
      </c>
      <c r="AH40" s="922">
        <f t="shared" si="13"/>
        <v>0</v>
      </c>
      <c r="AI40" s="923">
        <f t="shared" si="13"/>
        <v>0</v>
      </c>
      <c r="AJ40" s="183"/>
      <c r="AK40" s="924"/>
      <c r="AL40" s="13"/>
      <c r="AM40" s="181"/>
      <c r="AN40" s="182"/>
    </row>
    <row r="41" spans="1:46" s="37" customFormat="1" x14ac:dyDescent="0.2">
      <c r="A41" s="148"/>
      <c r="B41" s="1066" t="str">
        <f>ctArbeitsgebiete!A9</f>
        <v>A01</v>
      </c>
      <c r="C41" s="1067" t="str">
        <f>IF(ctArbeitsgebiete!B9&lt;&gt;"",ctArbeitsgebiete!B9,"")</f>
        <v/>
      </c>
      <c r="D41" s="1068"/>
      <c r="E41" s="1069"/>
      <c r="F41" s="1070"/>
      <c r="G41" s="1070"/>
      <c r="H41" s="1070"/>
      <c r="I41" s="1070"/>
      <c r="J41" s="1070"/>
      <c r="K41" s="1070"/>
      <c r="L41" s="1070"/>
      <c r="M41" s="1070"/>
      <c r="N41" s="1070"/>
      <c r="O41" s="1070"/>
      <c r="P41" s="1070"/>
      <c r="Q41" s="1070"/>
      <c r="R41" s="1070"/>
      <c r="S41" s="1070"/>
      <c r="T41" s="1070"/>
      <c r="U41" s="1070"/>
      <c r="V41" s="1070"/>
      <c r="W41" s="1070"/>
      <c r="X41" s="1070"/>
      <c r="Y41" s="1070"/>
      <c r="Z41" s="1070"/>
      <c r="AA41" s="1070"/>
      <c r="AB41" s="1070"/>
      <c r="AC41" s="1070"/>
      <c r="AD41" s="1070"/>
      <c r="AE41" s="1070"/>
      <c r="AF41" s="1070"/>
      <c r="AG41" s="1070"/>
      <c r="AH41" s="1070"/>
      <c r="AI41" s="1071"/>
      <c r="AJ41" s="1072">
        <f>SUM(E41:AI41)</f>
        <v>0</v>
      </c>
      <c r="AK41" s="152"/>
      <c r="AL41" s="146"/>
      <c r="AM41" s="147"/>
      <c r="AN41" s="147"/>
      <c r="AO41" s="147"/>
      <c r="AP41" s="147"/>
      <c r="AQ41" s="147"/>
      <c r="AR41" s="147"/>
      <c r="AS41" s="88"/>
      <c r="AT41" s="34"/>
    </row>
    <row r="42" spans="1:46" x14ac:dyDescent="0.2">
      <c r="A42" s="165"/>
      <c r="B42" s="185" t="str">
        <f>ctArbeitsgebiete!A10</f>
        <v>A02</v>
      </c>
      <c r="C42" s="186" t="str">
        <f>IF(ctArbeitsgebiete!B10&lt;&gt;"",ctArbeitsgebiete!B10,"")</f>
        <v/>
      </c>
      <c r="D42" s="187"/>
      <c r="E42" s="913"/>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322"/>
      <c r="AJ42" s="188">
        <f t="shared" ref="AJ42:AJ84" si="14">SUM(E42:AI42)</f>
        <v>0</v>
      </c>
      <c r="AK42" s="152"/>
      <c r="AL42" s="113"/>
      <c r="AM42" s="89"/>
      <c r="AN42" s="89"/>
      <c r="AO42" s="89"/>
      <c r="AP42" s="89"/>
      <c r="AQ42" s="89"/>
      <c r="AR42" s="89"/>
      <c r="AT42" s="88"/>
    </row>
    <row r="43" spans="1:46" x14ac:dyDescent="0.2">
      <c r="A43" s="165"/>
      <c r="B43" s="185" t="str">
        <f>ctArbeitsgebiete!A11</f>
        <v>A03</v>
      </c>
      <c r="C43" s="186" t="str">
        <f>IF(ctArbeitsgebiete!B11&lt;&gt;"",ctArbeitsgebiete!B11,"")</f>
        <v/>
      </c>
      <c r="D43" s="187"/>
      <c r="E43" s="913"/>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22"/>
      <c r="AJ43" s="188">
        <f t="shared" si="14"/>
        <v>0</v>
      </c>
      <c r="AK43" s="152"/>
      <c r="AL43" s="113"/>
      <c r="AM43" s="89"/>
      <c r="AN43" s="89"/>
      <c r="AO43" s="89"/>
      <c r="AP43" s="89"/>
      <c r="AQ43" s="89"/>
      <c r="AR43" s="89"/>
    </row>
    <row r="44" spans="1:46" x14ac:dyDescent="0.2">
      <c r="A44" s="165"/>
      <c r="B44" s="185" t="str">
        <f>ctArbeitsgebiete!A12</f>
        <v>A04</v>
      </c>
      <c r="C44" s="186" t="str">
        <f>IF(ctArbeitsgebiete!B12&lt;&gt;"",ctArbeitsgebiete!B12,"")</f>
        <v/>
      </c>
      <c r="D44" s="187"/>
      <c r="E44" s="913"/>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322"/>
      <c r="AJ44" s="188">
        <f t="shared" si="14"/>
        <v>0</v>
      </c>
      <c r="AK44" s="152"/>
      <c r="AL44" s="113"/>
      <c r="AM44" s="89"/>
      <c r="AN44" s="89"/>
      <c r="AO44" s="89"/>
      <c r="AP44" s="89"/>
      <c r="AQ44" s="89"/>
      <c r="AR44" s="89"/>
    </row>
    <row r="45" spans="1:46" x14ac:dyDescent="0.2">
      <c r="A45" s="165"/>
      <c r="B45" s="185" t="str">
        <f>ctArbeitsgebiete!A13</f>
        <v>A05</v>
      </c>
      <c r="C45" s="186" t="str">
        <f>IF(ctArbeitsgebiete!B13&lt;&gt;"",ctArbeitsgebiete!B13,"")</f>
        <v/>
      </c>
      <c r="D45" s="187"/>
      <c r="E45" s="913"/>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322"/>
      <c r="AJ45" s="188">
        <f t="shared" si="14"/>
        <v>0</v>
      </c>
      <c r="AK45" s="152"/>
      <c r="AL45" s="113"/>
      <c r="AM45" s="89"/>
      <c r="AN45" s="89"/>
      <c r="AO45" s="89"/>
      <c r="AP45" s="89"/>
      <c r="AQ45" s="89"/>
      <c r="AR45" s="89"/>
    </row>
    <row r="46" spans="1:46" x14ac:dyDescent="0.2">
      <c r="A46" s="165"/>
      <c r="B46" s="185" t="str">
        <f>ctArbeitsgebiete!A14</f>
        <v>A06</v>
      </c>
      <c r="C46" s="186" t="str">
        <f>IF(ctArbeitsgebiete!B14&lt;&gt;"",ctArbeitsgebiete!B14,"")</f>
        <v/>
      </c>
      <c r="D46" s="187"/>
      <c r="E46" s="913"/>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322"/>
      <c r="AJ46" s="188">
        <f t="shared" si="14"/>
        <v>0</v>
      </c>
      <c r="AK46" s="152"/>
      <c r="AL46" s="113"/>
      <c r="AM46" s="89"/>
      <c r="AN46" s="89"/>
      <c r="AO46" s="89"/>
      <c r="AP46" s="89"/>
      <c r="AQ46" s="89"/>
      <c r="AR46" s="89"/>
    </row>
    <row r="47" spans="1:46" x14ac:dyDescent="0.2">
      <c r="A47" s="165"/>
      <c r="B47" s="185" t="str">
        <f>ctArbeitsgebiete!A15</f>
        <v>A07</v>
      </c>
      <c r="C47" s="186" t="str">
        <f>IF(ctArbeitsgebiete!B15&lt;&gt;"",ctArbeitsgebiete!B15,"")</f>
        <v/>
      </c>
      <c r="D47" s="187"/>
      <c r="E47" s="913"/>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322"/>
      <c r="AJ47" s="188">
        <f t="shared" si="14"/>
        <v>0</v>
      </c>
      <c r="AK47" s="152"/>
      <c r="AL47" s="113"/>
      <c r="AM47" s="89"/>
      <c r="AN47" s="89"/>
      <c r="AO47" s="89"/>
      <c r="AP47" s="89"/>
      <c r="AQ47" s="89"/>
      <c r="AR47" s="89"/>
    </row>
    <row r="48" spans="1:46" x14ac:dyDescent="0.2">
      <c r="A48" s="165"/>
      <c r="B48" s="185" t="str">
        <f>ctArbeitsgebiete!A16</f>
        <v>A08</v>
      </c>
      <c r="C48" s="186" t="str">
        <f>IF(ctArbeitsgebiete!B16&lt;&gt;"",ctArbeitsgebiete!B16,"")</f>
        <v/>
      </c>
      <c r="D48" s="187"/>
      <c r="E48" s="913"/>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322"/>
      <c r="AJ48" s="188">
        <f t="shared" si="14"/>
        <v>0</v>
      </c>
      <c r="AK48" s="152"/>
      <c r="AL48" s="113"/>
      <c r="AM48" s="89"/>
      <c r="AN48" s="89"/>
      <c r="AO48" s="89"/>
      <c r="AP48" s="89"/>
      <c r="AQ48" s="89"/>
      <c r="AR48" s="89"/>
    </row>
    <row r="49" spans="1:44" x14ac:dyDescent="0.2">
      <c r="A49" s="165"/>
      <c r="B49" s="185" t="str">
        <f>ctArbeitsgebiete!A17</f>
        <v>A09</v>
      </c>
      <c r="C49" s="186" t="str">
        <f>IF(ctArbeitsgebiete!B17&lt;&gt;"",ctArbeitsgebiete!B17,"")</f>
        <v/>
      </c>
      <c r="D49" s="187"/>
      <c r="E49" s="913"/>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322"/>
      <c r="AJ49" s="188">
        <f t="shared" si="14"/>
        <v>0</v>
      </c>
      <c r="AK49" s="152"/>
      <c r="AL49" s="113"/>
      <c r="AM49" s="89"/>
      <c r="AN49" s="89"/>
      <c r="AO49" s="89"/>
      <c r="AP49" s="89"/>
      <c r="AQ49" s="89"/>
      <c r="AR49" s="89"/>
    </row>
    <row r="50" spans="1:44" x14ac:dyDescent="0.2">
      <c r="A50" s="165"/>
      <c r="B50" s="185" t="str">
        <f>ctArbeitsgebiete!A18</f>
        <v>A10</v>
      </c>
      <c r="C50" s="186" t="str">
        <f>IF(ctArbeitsgebiete!B18&lt;&gt;"",ctArbeitsgebiete!B18,"")</f>
        <v/>
      </c>
      <c r="D50" s="187"/>
      <c r="E50" s="913"/>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322"/>
      <c r="AJ50" s="188">
        <f t="shared" si="14"/>
        <v>0</v>
      </c>
      <c r="AK50" s="152"/>
      <c r="AL50" s="113"/>
      <c r="AM50" s="89"/>
      <c r="AN50" s="89"/>
      <c r="AO50" s="89"/>
      <c r="AP50" s="89"/>
      <c r="AQ50" s="89"/>
      <c r="AR50" s="89"/>
    </row>
    <row r="51" spans="1:44" x14ac:dyDescent="0.2">
      <c r="A51" s="165"/>
      <c r="B51" s="185" t="str">
        <f>ctArbeitsgebiete!A19</f>
        <v>A11</v>
      </c>
      <c r="C51" s="186" t="str">
        <f>IF(ctArbeitsgebiete!B19&lt;&gt;"",ctArbeitsgebiete!B19,"")</f>
        <v/>
      </c>
      <c r="D51" s="187"/>
      <c r="E51" s="913"/>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322"/>
      <c r="AJ51" s="188">
        <f t="shared" si="14"/>
        <v>0</v>
      </c>
      <c r="AK51" s="152"/>
      <c r="AL51" s="113"/>
      <c r="AM51" s="89"/>
      <c r="AN51" s="89"/>
      <c r="AO51" s="89"/>
      <c r="AP51" s="89"/>
      <c r="AQ51" s="89"/>
      <c r="AR51" s="89"/>
    </row>
    <row r="52" spans="1:44" x14ac:dyDescent="0.2">
      <c r="A52" s="165"/>
      <c r="B52" s="185" t="str">
        <f>ctArbeitsgebiete!A20</f>
        <v>A12</v>
      </c>
      <c r="C52" s="186" t="str">
        <f>IF(ctArbeitsgebiete!B20&lt;&gt;"",ctArbeitsgebiete!B20,"")</f>
        <v/>
      </c>
      <c r="D52" s="187"/>
      <c r="E52" s="913"/>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322"/>
      <c r="AJ52" s="188">
        <f t="shared" si="14"/>
        <v>0</v>
      </c>
      <c r="AK52" s="152"/>
      <c r="AL52" s="113"/>
      <c r="AM52" s="89"/>
      <c r="AN52" s="89"/>
      <c r="AO52" s="89"/>
      <c r="AP52" s="89"/>
      <c r="AQ52" s="89"/>
      <c r="AR52" s="89"/>
    </row>
    <row r="53" spans="1:44" x14ac:dyDescent="0.2">
      <c r="A53" s="165"/>
      <c r="B53" s="185" t="str">
        <f>ctArbeitsgebiete!A21</f>
        <v>A13</v>
      </c>
      <c r="C53" s="186" t="str">
        <f>IF(ctArbeitsgebiete!B21&lt;&gt;"",ctArbeitsgebiete!B21,"")</f>
        <v/>
      </c>
      <c r="D53" s="187"/>
      <c r="E53" s="913"/>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322"/>
      <c r="AJ53" s="188">
        <f t="shared" si="14"/>
        <v>0</v>
      </c>
      <c r="AK53" s="152"/>
      <c r="AL53" s="113"/>
      <c r="AM53" s="89"/>
      <c r="AN53" s="89"/>
      <c r="AO53" s="89"/>
      <c r="AP53" s="89"/>
      <c r="AQ53" s="89"/>
      <c r="AR53" s="89"/>
    </row>
    <row r="54" spans="1:44" x14ac:dyDescent="0.2">
      <c r="A54" s="165"/>
      <c r="B54" s="185" t="str">
        <f>ctArbeitsgebiete!A22</f>
        <v>A14</v>
      </c>
      <c r="C54" s="186" t="str">
        <f>IF(ctArbeitsgebiete!B22&lt;&gt;"",ctArbeitsgebiete!B22,"")</f>
        <v/>
      </c>
      <c r="D54" s="187"/>
      <c r="E54" s="913"/>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322"/>
      <c r="AJ54" s="188">
        <f t="shared" si="14"/>
        <v>0</v>
      </c>
      <c r="AK54" s="152"/>
      <c r="AL54" s="113"/>
      <c r="AM54" s="89"/>
      <c r="AN54" s="89"/>
      <c r="AO54" s="89"/>
      <c r="AP54" s="89"/>
      <c r="AQ54" s="89"/>
      <c r="AR54" s="89"/>
    </row>
    <row r="55" spans="1:44" x14ac:dyDescent="0.2">
      <c r="A55" s="165"/>
      <c r="B55" s="185" t="str">
        <f>ctArbeitsgebiete!A23</f>
        <v>A15</v>
      </c>
      <c r="C55" s="186" t="str">
        <f>IF(ctArbeitsgebiete!B23&lt;&gt;"",ctArbeitsgebiete!B23,"")</f>
        <v/>
      </c>
      <c r="D55" s="187"/>
      <c r="E55" s="913"/>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322"/>
      <c r="AJ55" s="188">
        <f t="shared" si="14"/>
        <v>0</v>
      </c>
      <c r="AK55" s="152"/>
      <c r="AL55" s="113"/>
      <c r="AM55" s="89"/>
      <c r="AN55" s="89"/>
      <c r="AO55" s="89"/>
      <c r="AP55" s="89"/>
      <c r="AQ55" s="89"/>
      <c r="AR55" s="89"/>
    </row>
    <row r="56" spans="1:44" x14ac:dyDescent="0.2">
      <c r="A56" s="165"/>
      <c r="B56" s="189" t="str">
        <f>ctArbeitsgebiete!A24</f>
        <v>A16</v>
      </c>
      <c r="C56" s="190" t="str">
        <f>IF(ctArbeitsgebiete!B24&lt;&gt;"",ctArbeitsgebiete!B24,"")</f>
        <v/>
      </c>
      <c r="D56" s="191"/>
      <c r="E56" s="914"/>
      <c r="F56" s="915"/>
      <c r="G56" s="915"/>
      <c r="H56" s="915"/>
      <c r="I56" s="915"/>
      <c r="J56" s="915"/>
      <c r="K56" s="915"/>
      <c r="L56" s="915"/>
      <c r="M56" s="915"/>
      <c r="N56" s="915"/>
      <c r="O56" s="915"/>
      <c r="P56" s="915"/>
      <c r="Q56" s="915"/>
      <c r="R56" s="915"/>
      <c r="S56" s="915"/>
      <c r="T56" s="915"/>
      <c r="U56" s="915"/>
      <c r="V56" s="915"/>
      <c r="W56" s="915"/>
      <c r="X56" s="915"/>
      <c r="Y56" s="915"/>
      <c r="Z56" s="915"/>
      <c r="AA56" s="915"/>
      <c r="AB56" s="915"/>
      <c r="AC56" s="915"/>
      <c r="AD56" s="915"/>
      <c r="AE56" s="915"/>
      <c r="AF56" s="915"/>
      <c r="AG56" s="915"/>
      <c r="AH56" s="915"/>
      <c r="AI56" s="916"/>
      <c r="AJ56" s="192">
        <f t="shared" si="14"/>
        <v>0</v>
      </c>
      <c r="AK56" s="912"/>
      <c r="AL56" s="113"/>
      <c r="AM56" s="89"/>
      <c r="AN56" s="89"/>
      <c r="AO56" s="89"/>
      <c r="AP56" s="89"/>
      <c r="AQ56" s="89"/>
      <c r="AR56" s="89"/>
    </row>
    <row r="57" spans="1:44" x14ac:dyDescent="0.2">
      <c r="A57" s="165"/>
      <c r="B57" s="1066" t="str">
        <f>ctArbeitsgebiete!D9</f>
        <v>B01</v>
      </c>
      <c r="C57" s="1073" t="str">
        <f>IF(ctArbeitsgebiete!E9&lt;&gt;"",ctArbeitsgebiete!E9,"")</f>
        <v/>
      </c>
      <c r="D57" s="1074" t="str">
        <f>IF(ctArbeitsgebiete!F9&lt;&gt;"",ctArbeitsgebiete!F9,"")</f>
        <v/>
      </c>
      <c r="E57" s="1069"/>
      <c r="F57" s="1070"/>
      <c r="G57" s="1070"/>
      <c r="H57" s="1070"/>
      <c r="I57" s="1070"/>
      <c r="J57" s="1070"/>
      <c r="K57" s="1070"/>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0"/>
      <c r="AH57" s="1070"/>
      <c r="AI57" s="1071"/>
      <c r="AJ57" s="1075">
        <f t="shared" si="14"/>
        <v>0</v>
      </c>
      <c r="AK57" s="1060"/>
      <c r="AL57" s="113"/>
      <c r="AM57" s="89"/>
      <c r="AN57" s="89"/>
      <c r="AO57" s="89"/>
      <c r="AP57" s="89"/>
      <c r="AQ57" s="89"/>
      <c r="AR57" s="89"/>
    </row>
    <row r="58" spans="1:44" x14ac:dyDescent="0.2">
      <c r="A58" s="165"/>
      <c r="B58" s="185" t="str">
        <f>ctArbeitsgebiete!D10</f>
        <v>B02</v>
      </c>
      <c r="C58" s="193" t="str">
        <f>IF(ctArbeitsgebiete!E10&lt;&gt;"",ctArbeitsgebiete!E10,"")</f>
        <v/>
      </c>
      <c r="D58" s="194"/>
      <c r="E58" s="913"/>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322"/>
      <c r="AJ58" s="195">
        <f t="shared" si="14"/>
        <v>0</v>
      </c>
      <c r="AK58" s="152"/>
      <c r="AL58" s="113"/>
      <c r="AM58" s="89"/>
      <c r="AN58" s="89"/>
      <c r="AO58" s="89"/>
      <c r="AP58" s="89"/>
      <c r="AQ58" s="89"/>
      <c r="AR58" s="89"/>
    </row>
    <row r="59" spans="1:44" x14ac:dyDescent="0.2">
      <c r="A59" s="165"/>
      <c r="B59" s="185" t="str">
        <f>ctArbeitsgebiete!D11</f>
        <v>B03</v>
      </c>
      <c r="C59" s="193" t="str">
        <f>IF(ctArbeitsgebiete!E11&lt;&gt;"",ctArbeitsgebiete!E11,"")</f>
        <v/>
      </c>
      <c r="D59" s="194"/>
      <c r="E59" s="913"/>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322"/>
      <c r="AJ59" s="195">
        <f t="shared" si="14"/>
        <v>0</v>
      </c>
      <c r="AK59" s="152"/>
      <c r="AL59" s="113"/>
      <c r="AM59" s="89"/>
      <c r="AN59" s="89"/>
      <c r="AO59" s="89"/>
      <c r="AP59" s="89"/>
      <c r="AQ59" s="89"/>
      <c r="AR59" s="89"/>
    </row>
    <row r="60" spans="1:44" x14ac:dyDescent="0.2">
      <c r="A60" s="165"/>
      <c r="B60" s="185" t="str">
        <f>ctArbeitsgebiete!D12</f>
        <v>B04</v>
      </c>
      <c r="C60" s="193" t="str">
        <f>IF(ctArbeitsgebiete!E12&lt;&gt;"",ctArbeitsgebiete!E12,"")</f>
        <v/>
      </c>
      <c r="D60" s="194"/>
      <c r="E60" s="913"/>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322"/>
      <c r="AJ60" s="195">
        <f t="shared" si="14"/>
        <v>0</v>
      </c>
      <c r="AK60" s="152"/>
      <c r="AL60" s="113"/>
      <c r="AM60" s="89"/>
      <c r="AN60" s="89"/>
      <c r="AO60" s="89"/>
      <c r="AP60" s="89"/>
      <c r="AQ60" s="89"/>
      <c r="AR60" s="89"/>
    </row>
    <row r="61" spans="1:44" x14ac:dyDescent="0.2">
      <c r="A61" s="165"/>
      <c r="B61" s="185" t="str">
        <f>ctArbeitsgebiete!D13</f>
        <v>B05</v>
      </c>
      <c r="C61" s="193" t="str">
        <f>IF(ctArbeitsgebiete!E13&lt;&gt;"",ctArbeitsgebiete!E13,"")</f>
        <v/>
      </c>
      <c r="D61" s="194"/>
      <c r="E61" s="913"/>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322"/>
      <c r="AJ61" s="195">
        <f t="shared" si="14"/>
        <v>0</v>
      </c>
      <c r="AK61" s="152"/>
      <c r="AL61" s="113"/>
      <c r="AM61" s="89"/>
      <c r="AN61" s="89"/>
      <c r="AO61" s="89"/>
      <c r="AP61" s="89"/>
      <c r="AQ61" s="89"/>
      <c r="AR61" s="89"/>
    </row>
    <row r="62" spans="1:44" x14ac:dyDescent="0.2">
      <c r="A62" s="165"/>
      <c r="B62" s="185" t="str">
        <f>ctArbeitsgebiete!D14</f>
        <v>B06</v>
      </c>
      <c r="C62" s="193" t="str">
        <f>IF(ctArbeitsgebiete!E14&lt;&gt;"",ctArbeitsgebiete!E14,"")</f>
        <v/>
      </c>
      <c r="D62" s="194"/>
      <c r="E62" s="913"/>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322"/>
      <c r="AJ62" s="195">
        <f t="shared" si="14"/>
        <v>0</v>
      </c>
      <c r="AK62" s="152"/>
      <c r="AL62" s="113"/>
      <c r="AM62" s="89"/>
      <c r="AN62" s="89"/>
      <c r="AO62" s="89"/>
      <c r="AP62" s="89"/>
      <c r="AQ62" s="89"/>
      <c r="AR62" s="89"/>
    </row>
    <row r="63" spans="1:44" x14ac:dyDescent="0.2">
      <c r="A63" s="165"/>
      <c r="B63" s="185" t="str">
        <f>ctArbeitsgebiete!D15</f>
        <v>B07</v>
      </c>
      <c r="C63" s="193" t="str">
        <f>IF(ctArbeitsgebiete!E15&lt;&gt;"",ctArbeitsgebiete!E15,"")</f>
        <v/>
      </c>
      <c r="D63" s="194"/>
      <c r="E63" s="913"/>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322"/>
      <c r="AJ63" s="195">
        <f t="shared" si="14"/>
        <v>0</v>
      </c>
      <c r="AK63" s="152"/>
      <c r="AL63" s="113"/>
      <c r="AM63" s="89"/>
      <c r="AN63" s="89"/>
      <c r="AO63" s="89"/>
      <c r="AP63" s="89"/>
      <c r="AQ63" s="89"/>
      <c r="AR63" s="89"/>
    </row>
    <row r="64" spans="1:44" x14ac:dyDescent="0.2">
      <c r="A64" s="165"/>
      <c r="B64" s="185" t="str">
        <f>ctArbeitsgebiete!D16</f>
        <v>B08</v>
      </c>
      <c r="C64" s="193" t="str">
        <f>IF(ctArbeitsgebiete!E16&lt;&gt;"",ctArbeitsgebiete!E16,"")</f>
        <v/>
      </c>
      <c r="D64" s="194"/>
      <c r="E64" s="913"/>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322"/>
      <c r="AJ64" s="195">
        <f t="shared" si="14"/>
        <v>0</v>
      </c>
      <c r="AK64" s="152"/>
      <c r="AL64" s="113"/>
      <c r="AM64" s="89"/>
      <c r="AN64" s="89"/>
      <c r="AO64" s="89"/>
      <c r="AP64" s="89"/>
      <c r="AQ64" s="89"/>
      <c r="AR64" s="89"/>
    </row>
    <row r="65" spans="1:44" x14ac:dyDescent="0.2">
      <c r="A65" s="165"/>
      <c r="B65" s="185" t="str">
        <f>ctArbeitsgebiete!D17</f>
        <v>B09</v>
      </c>
      <c r="C65" s="193" t="str">
        <f>IF(ctArbeitsgebiete!E17&lt;&gt;"",ctArbeitsgebiete!E17,"")</f>
        <v/>
      </c>
      <c r="D65" s="194"/>
      <c r="E65" s="913"/>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322"/>
      <c r="AJ65" s="195">
        <f t="shared" si="14"/>
        <v>0</v>
      </c>
      <c r="AK65" s="152"/>
      <c r="AL65" s="113"/>
      <c r="AM65" s="89"/>
      <c r="AN65" s="89"/>
      <c r="AO65" s="89"/>
      <c r="AP65" s="89"/>
      <c r="AQ65" s="89"/>
      <c r="AR65" s="89"/>
    </row>
    <row r="66" spans="1:44" x14ac:dyDescent="0.2">
      <c r="A66" s="165"/>
      <c r="B66" s="185" t="str">
        <f>ctArbeitsgebiete!D18</f>
        <v>B10</v>
      </c>
      <c r="C66" s="193" t="str">
        <f>IF(ctArbeitsgebiete!E18&lt;&gt;"",ctArbeitsgebiete!E18,"")</f>
        <v/>
      </c>
      <c r="D66" s="194"/>
      <c r="E66" s="913"/>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322"/>
      <c r="AJ66" s="195">
        <f t="shared" si="14"/>
        <v>0</v>
      </c>
      <c r="AK66" s="152"/>
      <c r="AL66" s="113"/>
      <c r="AM66" s="89"/>
      <c r="AN66" s="89"/>
      <c r="AO66" s="89"/>
      <c r="AP66" s="89"/>
      <c r="AQ66" s="89"/>
      <c r="AR66" s="89"/>
    </row>
    <row r="67" spans="1:44" x14ac:dyDescent="0.2">
      <c r="A67" s="165"/>
      <c r="B67" s="185" t="str">
        <f>ctArbeitsgebiete!D19</f>
        <v>B11</v>
      </c>
      <c r="C67" s="193" t="str">
        <f>IF(ctArbeitsgebiete!E19&lt;&gt;"",ctArbeitsgebiete!E19,"")</f>
        <v/>
      </c>
      <c r="D67" s="194"/>
      <c r="E67" s="913"/>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322"/>
      <c r="AJ67" s="195">
        <f t="shared" si="14"/>
        <v>0</v>
      </c>
      <c r="AK67" s="152"/>
      <c r="AL67" s="113"/>
      <c r="AM67" s="89"/>
      <c r="AN67" s="89"/>
      <c r="AO67" s="89"/>
      <c r="AP67" s="89"/>
      <c r="AQ67" s="89"/>
      <c r="AR67" s="89"/>
    </row>
    <row r="68" spans="1:44" x14ac:dyDescent="0.2">
      <c r="A68" s="165"/>
      <c r="B68" s="189" t="str">
        <f>ctArbeitsgebiete!D20</f>
        <v>B12</v>
      </c>
      <c r="C68" s="196" t="str">
        <f>IF(ctArbeitsgebiete!E20&lt;&gt;"",ctArbeitsgebiete!E20,"")</f>
        <v/>
      </c>
      <c r="D68" s="197"/>
      <c r="E68" s="914"/>
      <c r="F68" s="915"/>
      <c r="G68" s="915"/>
      <c r="H68" s="915"/>
      <c r="I68" s="915"/>
      <c r="J68" s="915"/>
      <c r="K68" s="915"/>
      <c r="L68" s="915"/>
      <c r="M68" s="915"/>
      <c r="N68" s="915"/>
      <c r="O68" s="915"/>
      <c r="P68" s="915"/>
      <c r="Q68" s="915"/>
      <c r="R68" s="915"/>
      <c r="S68" s="915"/>
      <c r="T68" s="915"/>
      <c r="U68" s="915"/>
      <c r="V68" s="915"/>
      <c r="W68" s="915"/>
      <c r="X68" s="915"/>
      <c r="Y68" s="915"/>
      <c r="Z68" s="915"/>
      <c r="AA68" s="915"/>
      <c r="AB68" s="915"/>
      <c r="AC68" s="915"/>
      <c r="AD68" s="915"/>
      <c r="AE68" s="915"/>
      <c r="AF68" s="915"/>
      <c r="AG68" s="915"/>
      <c r="AH68" s="915"/>
      <c r="AI68" s="916"/>
      <c r="AJ68" s="198">
        <f t="shared" si="14"/>
        <v>0</v>
      </c>
      <c r="AK68" s="912"/>
      <c r="AL68" s="113"/>
      <c r="AM68" s="89"/>
      <c r="AN68" s="89"/>
      <c r="AO68" s="89"/>
      <c r="AP68" s="89"/>
      <c r="AQ68" s="89"/>
      <c r="AR68" s="89"/>
    </row>
    <row r="69" spans="1:44" x14ac:dyDescent="0.2">
      <c r="A69" s="165"/>
      <c r="B69" s="1066" t="str">
        <f>ctArbeitsgebiete!G9</f>
        <v>C01</v>
      </c>
      <c r="C69" s="1076" t="str">
        <f>IF(ctArbeitsgebiete!H9&lt;&gt;"",ctArbeitsgebiete!H9,"")</f>
        <v/>
      </c>
      <c r="D69" s="1077"/>
      <c r="E69" s="1069"/>
      <c r="F69" s="1070"/>
      <c r="G69" s="1070"/>
      <c r="H69" s="1070"/>
      <c r="I69" s="1070"/>
      <c r="J69" s="1070"/>
      <c r="K69" s="1070"/>
      <c r="L69" s="1070"/>
      <c r="M69" s="1070"/>
      <c r="N69" s="1070"/>
      <c r="O69" s="1070"/>
      <c r="P69" s="1070"/>
      <c r="Q69" s="1070"/>
      <c r="R69" s="1070"/>
      <c r="S69" s="1070"/>
      <c r="T69" s="1070"/>
      <c r="U69" s="1070"/>
      <c r="V69" s="1070"/>
      <c r="W69" s="1070"/>
      <c r="X69" s="1070"/>
      <c r="Y69" s="1070"/>
      <c r="Z69" s="1070"/>
      <c r="AA69" s="1070"/>
      <c r="AB69" s="1070"/>
      <c r="AC69" s="1070"/>
      <c r="AD69" s="1070"/>
      <c r="AE69" s="1070"/>
      <c r="AF69" s="1070"/>
      <c r="AG69" s="1070"/>
      <c r="AH69" s="1070"/>
      <c r="AI69" s="1071"/>
      <c r="AJ69" s="1078">
        <f t="shared" si="14"/>
        <v>0</v>
      </c>
      <c r="AK69" s="1060"/>
      <c r="AL69" s="113"/>
      <c r="AM69" s="89"/>
      <c r="AN69" s="89"/>
      <c r="AO69" s="89"/>
      <c r="AP69" s="89"/>
      <c r="AQ69" s="89"/>
      <c r="AR69" s="89"/>
    </row>
    <row r="70" spans="1:44" x14ac:dyDescent="0.2">
      <c r="A70" s="165"/>
      <c r="B70" s="185" t="str">
        <f>ctArbeitsgebiete!G10</f>
        <v>C02</v>
      </c>
      <c r="C70" s="199" t="str">
        <f>IF(ctArbeitsgebiete!H10&lt;&gt;"",ctArbeitsgebiete!H10,"")</f>
        <v/>
      </c>
      <c r="D70" s="200"/>
      <c r="E70" s="913"/>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322"/>
      <c r="AJ70" s="201">
        <f t="shared" si="14"/>
        <v>0</v>
      </c>
      <c r="AK70" s="152"/>
      <c r="AL70" s="113"/>
      <c r="AM70" s="89"/>
      <c r="AN70" s="89"/>
      <c r="AO70" s="89"/>
      <c r="AP70" s="89"/>
      <c r="AQ70" s="89"/>
      <c r="AR70" s="89"/>
    </row>
    <row r="71" spans="1:44" x14ac:dyDescent="0.2">
      <c r="A71" s="165"/>
      <c r="B71" s="185" t="str">
        <f>ctArbeitsgebiete!G11</f>
        <v>C03</v>
      </c>
      <c r="C71" s="199" t="str">
        <f>IF(ctArbeitsgebiete!H11&lt;&gt;"",ctArbeitsgebiete!H11,"")</f>
        <v/>
      </c>
      <c r="D71" s="200"/>
      <c r="E71" s="913"/>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322"/>
      <c r="AJ71" s="201">
        <f t="shared" si="14"/>
        <v>0</v>
      </c>
      <c r="AK71" s="152"/>
      <c r="AL71" s="113"/>
      <c r="AM71" s="89"/>
      <c r="AN71" s="89"/>
      <c r="AO71" s="89"/>
      <c r="AP71" s="89"/>
      <c r="AQ71" s="89"/>
      <c r="AR71" s="89"/>
    </row>
    <row r="72" spans="1:44" x14ac:dyDescent="0.2">
      <c r="A72" s="165"/>
      <c r="B72" s="185" t="str">
        <f>ctArbeitsgebiete!G12</f>
        <v>C04</v>
      </c>
      <c r="C72" s="199" t="str">
        <f>IF(ctArbeitsgebiete!H12&lt;&gt;"",ctArbeitsgebiete!H12,"")</f>
        <v/>
      </c>
      <c r="D72" s="200"/>
      <c r="E72" s="913"/>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322"/>
      <c r="AJ72" s="201">
        <f t="shared" si="14"/>
        <v>0</v>
      </c>
      <c r="AK72" s="152"/>
      <c r="AL72" s="113"/>
      <c r="AM72" s="89"/>
      <c r="AN72" s="89"/>
      <c r="AO72" s="89"/>
      <c r="AP72" s="89"/>
      <c r="AQ72" s="89"/>
      <c r="AR72" s="89"/>
    </row>
    <row r="73" spans="1:44" x14ac:dyDescent="0.2">
      <c r="A73" s="165"/>
      <c r="B73" s="185" t="str">
        <f>ctArbeitsgebiete!G13</f>
        <v>C05</v>
      </c>
      <c r="C73" s="199" t="str">
        <f>IF(ctArbeitsgebiete!H13&lt;&gt;"",ctArbeitsgebiete!H13,"")</f>
        <v/>
      </c>
      <c r="D73" s="200"/>
      <c r="E73" s="913"/>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322"/>
      <c r="AJ73" s="201">
        <f t="shared" si="14"/>
        <v>0</v>
      </c>
      <c r="AK73" s="152"/>
      <c r="AL73" s="113"/>
      <c r="AM73" s="89"/>
      <c r="AN73" s="89"/>
      <c r="AO73" s="89"/>
      <c r="AP73" s="89"/>
      <c r="AQ73" s="89"/>
      <c r="AR73" s="89"/>
    </row>
    <row r="74" spans="1:44" x14ac:dyDescent="0.2">
      <c r="A74" s="165"/>
      <c r="B74" s="185" t="str">
        <f>ctArbeitsgebiete!G14</f>
        <v>C06</v>
      </c>
      <c r="C74" s="199" t="str">
        <f>IF(ctArbeitsgebiete!H14&lt;&gt;"",ctArbeitsgebiete!H14,"")</f>
        <v/>
      </c>
      <c r="D74" s="200"/>
      <c r="E74" s="913"/>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322"/>
      <c r="AJ74" s="201">
        <f t="shared" si="14"/>
        <v>0</v>
      </c>
      <c r="AK74" s="152"/>
      <c r="AL74" s="113"/>
      <c r="AM74" s="89"/>
      <c r="AN74" s="89"/>
      <c r="AO74" s="89"/>
      <c r="AP74" s="89"/>
      <c r="AQ74" s="89"/>
      <c r="AR74" s="89"/>
    </row>
    <row r="75" spans="1:44" x14ac:dyDescent="0.2">
      <c r="A75" s="165"/>
      <c r="B75" s="185" t="str">
        <f>ctArbeitsgebiete!G15</f>
        <v>C07</v>
      </c>
      <c r="C75" s="199" t="str">
        <f>IF(ctArbeitsgebiete!H15&lt;&gt;"",ctArbeitsgebiete!H15,"")</f>
        <v/>
      </c>
      <c r="D75" s="200"/>
      <c r="E75" s="913"/>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322"/>
      <c r="AJ75" s="201">
        <f t="shared" si="14"/>
        <v>0</v>
      </c>
      <c r="AK75" s="152"/>
      <c r="AL75" s="113"/>
      <c r="AM75" s="89"/>
      <c r="AN75" s="89"/>
      <c r="AO75" s="89"/>
      <c r="AP75" s="89"/>
      <c r="AQ75" s="89"/>
      <c r="AR75" s="89"/>
    </row>
    <row r="76" spans="1:44" x14ac:dyDescent="0.2">
      <c r="A76" s="165"/>
      <c r="B76" s="189" t="str">
        <f>ctArbeitsgebiete!G16</f>
        <v>C08</v>
      </c>
      <c r="C76" s="202" t="str">
        <f>IF(ctArbeitsgebiete!H16&lt;&gt;"",ctArbeitsgebiete!H16,"")</f>
        <v/>
      </c>
      <c r="D76" s="203"/>
      <c r="E76" s="914"/>
      <c r="F76" s="915"/>
      <c r="G76" s="915"/>
      <c r="H76" s="915"/>
      <c r="I76" s="915"/>
      <c r="J76" s="915"/>
      <c r="K76" s="915"/>
      <c r="L76" s="915"/>
      <c r="M76" s="915"/>
      <c r="N76" s="915"/>
      <c r="O76" s="915"/>
      <c r="P76" s="915"/>
      <c r="Q76" s="915"/>
      <c r="R76" s="915"/>
      <c r="S76" s="915"/>
      <c r="T76" s="915"/>
      <c r="U76" s="915"/>
      <c r="V76" s="915"/>
      <c r="W76" s="915"/>
      <c r="X76" s="915"/>
      <c r="Y76" s="915"/>
      <c r="Z76" s="915"/>
      <c r="AA76" s="915"/>
      <c r="AB76" s="915"/>
      <c r="AC76" s="915"/>
      <c r="AD76" s="915"/>
      <c r="AE76" s="915"/>
      <c r="AF76" s="915"/>
      <c r="AG76" s="915"/>
      <c r="AH76" s="915"/>
      <c r="AI76" s="916"/>
      <c r="AJ76" s="204">
        <f t="shared" si="14"/>
        <v>0</v>
      </c>
      <c r="AK76" s="912"/>
      <c r="AL76" s="113"/>
      <c r="AM76" s="89"/>
      <c r="AN76" s="89"/>
      <c r="AO76" s="89"/>
      <c r="AP76" s="89"/>
      <c r="AQ76" s="89"/>
      <c r="AR76" s="89"/>
    </row>
    <row r="77" spans="1:44" x14ac:dyDescent="0.2">
      <c r="A77" s="165"/>
      <c r="B77" s="1066" t="str">
        <f>ctArbeitsgebiete!J9</f>
        <v>D01</v>
      </c>
      <c r="C77" s="1079" t="str">
        <f>IF(ctArbeitsgebiete!K9&lt;&gt;"",ctArbeitsgebiete!K9,"")</f>
        <v>DAG</v>
      </c>
      <c r="D77" s="1080"/>
      <c r="E77" s="1069"/>
      <c r="F77" s="1070"/>
      <c r="G77" s="1070"/>
      <c r="H77" s="1070"/>
      <c r="I77" s="1070"/>
      <c r="J77" s="1070"/>
      <c r="K77" s="1070"/>
      <c r="L77" s="1070"/>
      <c r="M77" s="1070"/>
      <c r="N77" s="1070"/>
      <c r="O77" s="1070"/>
      <c r="P77" s="1070"/>
      <c r="Q77" s="1070"/>
      <c r="R77" s="1070"/>
      <c r="S77" s="1070"/>
      <c r="T77" s="1070"/>
      <c r="U77" s="1070"/>
      <c r="V77" s="1070"/>
      <c r="W77" s="1070"/>
      <c r="X77" s="1070"/>
      <c r="Y77" s="1070"/>
      <c r="Z77" s="1070"/>
      <c r="AA77" s="1070"/>
      <c r="AB77" s="1070"/>
      <c r="AC77" s="1070"/>
      <c r="AD77" s="1070"/>
      <c r="AE77" s="1070"/>
      <c r="AF77" s="1070"/>
      <c r="AG77" s="1070"/>
      <c r="AH77" s="1070"/>
      <c r="AI77" s="1071"/>
      <c r="AJ77" s="1059">
        <f t="shared" si="14"/>
        <v>0</v>
      </c>
      <c r="AK77" s="1060"/>
      <c r="AL77" s="113"/>
      <c r="AM77" s="89"/>
      <c r="AN77" s="89"/>
      <c r="AO77" s="89"/>
      <c r="AP77" s="89"/>
      <c r="AQ77" s="89"/>
      <c r="AR77" s="89"/>
    </row>
    <row r="78" spans="1:44" x14ac:dyDescent="0.2">
      <c r="A78" s="165"/>
      <c r="B78" s="185" t="str">
        <f>ctArbeitsgebiete!J10</f>
        <v>D02</v>
      </c>
      <c r="C78" s="205" t="str">
        <f>IF(ctArbeitsgebiete!K10&lt;&gt;"",ctArbeitsgebiete!K10,"")</f>
        <v>Betriebsausflug</v>
      </c>
      <c r="D78" s="206"/>
      <c r="E78" s="913"/>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322"/>
      <c r="AJ78" s="174">
        <f t="shared" si="14"/>
        <v>0</v>
      </c>
      <c r="AK78" s="152"/>
      <c r="AL78" s="113"/>
      <c r="AM78" s="89"/>
      <c r="AN78" s="89"/>
      <c r="AO78" s="89"/>
      <c r="AP78" s="89"/>
      <c r="AQ78" s="89"/>
      <c r="AR78" s="89"/>
    </row>
    <row r="79" spans="1:44" x14ac:dyDescent="0.2">
      <c r="A79" s="165"/>
      <c r="B79" s="185" t="str">
        <f>ctArbeitsgebiete!J11</f>
        <v>D03</v>
      </c>
      <c r="C79" s="205" t="str">
        <f>IF(ctArbeitsgebiete!K11&lt;&gt;"",ctArbeitsgebiete!K11,"")</f>
        <v/>
      </c>
      <c r="D79" s="206"/>
      <c r="E79" s="913"/>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322"/>
      <c r="AJ79" s="174">
        <f t="shared" si="14"/>
        <v>0</v>
      </c>
      <c r="AK79" s="152"/>
      <c r="AL79" s="113"/>
      <c r="AM79" s="89"/>
      <c r="AN79" s="89"/>
      <c r="AO79" s="89"/>
      <c r="AP79" s="89"/>
      <c r="AQ79" s="89"/>
      <c r="AR79" s="89"/>
    </row>
    <row r="80" spans="1:44" x14ac:dyDescent="0.2">
      <c r="A80" s="165"/>
      <c r="B80" s="185" t="str">
        <f>ctArbeitsgebiete!J12</f>
        <v>D04</v>
      </c>
      <c r="C80" s="205" t="str">
        <f>IF(ctArbeitsgebiete!K12&lt;&gt;"",ctArbeitsgebiete!K12,"")</f>
        <v/>
      </c>
      <c r="D80" s="206"/>
      <c r="E80" s="913"/>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322"/>
      <c r="AJ80" s="174">
        <f t="shared" si="14"/>
        <v>0</v>
      </c>
      <c r="AK80" s="152"/>
      <c r="AL80" s="113"/>
      <c r="AM80" s="89"/>
      <c r="AN80" s="89"/>
      <c r="AO80" s="89"/>
      <c r="AP80" s="89"/>
      <c r="AQ80" s="89"/>
      <c r="AR80" s="89"/>
    </row>
    <row r="81" spans="1:44" x14ac:dyDescent="0.2">
      <c r="A81" s="165"/>
      <c r="B81" s="185" t="str">
        <f>ctArbeitsgebiete!J13</f>
        <v>D05</v>
      </c>
      <c r="C81" s="205" t="str">
        <f>IF(ctArbeitsgebiete!K13&lt;&gt;"",ctArbeitsgebiete!K13,"")</f>
        <v/>
      </c>
      <c r="D81" s="206"/>
      <c r="E81" s="913"/>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322"/>
      <c r="AJ81" s="174">
        <f t="shared" si="14"/>
        <v>0</v>
      </c>
      <c r="AK81" s="152"/>
      <c r="AL81" s="113"/>
      <c r="AM81" s="89"/>
      <c r="AN81" s="89"/>
      <c r="AO81" s="89"/>
      <c r="AP81" s="89"/>
      <c r="AQ81" s="89"/>
      <c r="AR81" s="89"/>
    </row>
    <row r="82" spans="1:44" x14ac:dyDescent="0.2">
      <c r="A82" s="165"/>
      <c r="B82" s="185" t="str">
        <f>ctArbeitsgebiete!J14</f>
        <v>D06</v>
      </c>
      <c r="C82" s="205" t="str">
        <f>IF(ctArbeitsgebiete!K14&lt;&gt;"",ctArbeitsgebiete!K14,"")</f>
        <v/>
      </c>
      <c r="D82" s="206"/>
      <c r="E82" s="913"/>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322"/>
      <c r="AJ82" s="174">
        <f t="shared" si="14"/>
        <v>0</v>
      </c>
      <c r="AK82" s="152"/>
      <c r="AL82" s="113"/>
      <c r="AM82" s="89"/>
      <c r="AN82" s="89"/>
      <c r="AO82" s="89"/>
      <c r="AP82" s="89"/>
      <c r="AQ82" s="89"/>
      <c r="AR82" s="89"/>
    </row>
    <row r="83" spans="1:44" x14ac:dyDescent="0.2">
      <c r="A83" s="165"/>
      <c r="B83" s="185" t="str">
        <f>ctArbeitsgebiete!J15</f>
        <v>D07</v>
      </c>
      <c r="C83" s="205" t="str">
        <f>IF(ctArbeitsgebiete!K15&lt;&gt;"",ctArbeitsgebiete!K15,"")</f>
        <v/>
      </c>
      <c r="D83" s="206"/>
      <c r="E83" s="913"/>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322"/>
      <c r="AJ83" s="174">
        <f t="shared" si="14"/>
        <v>0</v>
      </c>
      <c r="AK83" s="152"/>
      <c r="AL83" s="113"/>
      <c r="AM83" s="89"/>
      <c r="AN83" s="89"/>
      <c r="AO83" s="89"/>
      <c r="AP83" s="89"/>
      <c r="AQ83" s="89"/>
      <c r="AR83" s="89"/>
    </row>
    <row r="84" spans="1:44" ht="13.5" thickBot="1" x14ac:dyDescent="0.25">
      <c r="A84" s="165"/>
      <c r="B84" s="189" t="str">
        <f>ctArbeitsgebiete!J16</f>
        <v>D08</v>
      </c>
      <c r="C84" s="207" t="str">
        <f>IF(ctArbeitsgebiete!K16&lt;&gt;"",ctArbeitsgebiete!K16,"")</f>
        <v/>
      </c>
      <c r="D84" s="208"/>
      <c r="E84" s="925"/>
      <c r="F84" s="926"/>
      <c r="G84" s="926"/>
      <c r="H84" s="926"/>
      <c r="I84" s="926"/>
      <c r="J84" s="926"/>
      <c r="K84" s="926"/>
      <c r="L84" s="926"/>
      <c r="M84" s="926"/>
      <c r="N84" s="926"/>
      <c r="O84" s="926"/>
      <c r="P84" s="926"/>
      <c r="Q84" s="926"/>
      <c r="R84" s="926"/>
      <c r="S84" s="926"/>
      <c r="T84" s="926"/>
      <c r="U84" s="926"/>
      <c r="V84" s="926"/>
      <c r="W84" s="926"/>
      <c r="X84" s="926"/>
      <c r="Y84" s="926"/>
      <c r="Z84" s="926"/>
      <c r="AA84" s="926"/>
      <c r="AB84" s="926"/>
      <c r="AC84" s="926"/>
      <c r="AD84" s="926"/>
      <c r="AE84" s="926"/>
      <c r="AF84" s="926"/>
      <c r="AG84" s="926"/>
      <c r="AH84" s="926"/>
      <c r="AI84" s="927"/>
      <c r="AJ84" s="142">
        <f t="shared" si="14"/>
        <v>0</v>
      </c>
      <c r="AK84" s="912"/>
      <c r="AL84" s="113"/>
      <c r="AM84" s="89"/>
      <c r="AN84" s="89"/>
      <c r="AO84" s="89"/>
      <c r="AP84" s="89"/>
      <c r="AQ84" s="89"/>
      <c r="AR84" s="89"/>
    </row>
    <row r="85" spans="1:44" ht="22.5" hidden="1" customHeight="1" outlineLevel="1" thickBot="1" x14ac:dyDescent="0.25">
      <c r="A85" s="8" t="s">
        <v>424</v>
      </c>
      <c r="B85" s="928"/>
      <c r="C85" s="929" t="s">
        <v>433</v>
      </c>
      <c r="D85" s="930"/>
      <c r="E85" s="931">
        <f>IF(AND(E86="JA",E14&gt;=E16),IF(Eingabeblatt!$D$7="JA",(E14-E16)*1.25,E14-E16),IF(AND(E86="JA",Eingabeblatt!$I$10="NEIN"),E14-E16,0))</f>
        <v>0</v>
      </c>
      <c r="F85" s="932">
        <f>IF(AND(F86="JA",F14&gt;=F16),IF(Eingabeblatt!$D$7="JA",(F14-F16)*1.25,F14-F16),IF(AND(F86="JA",Eingabeblatt!$I$10="NEIN"),F14-F16,0))</f>
        <v>0</v>
      </c>
      <c r="G85" s="932">
        <f>IF(AND(G86="JA",G14&gt;=G16),IF(Eingabeblatt!$D$7="JA",(G14-G16)*1.25,G14-G16),IF(AND(G86="JA",Eingabeblatt!$I$10="NEIN"),G14-G16,0))</f>
        <v>0</v>
      </c>
      <c r="H85" s="932">
        <f>IF(AND(H86="JA",H14&gt;=H16),IF(Eingabeblatt!$D$7="JA",(H14-H16)*1.25,H14-H16),IF(AND(H86="JA",Eingabeblatt!$I$10="NEIN"),H14-H16,0))</f>
        <v>0</v>
      </c>
      <c r="I85" s="932">
        <f>IF(AND(I86="JA",I14&gt;=I16),IF(Eingabeblatt!$D$7="JA",(I14-I16)*1.25,I14-I16),IF(AND(I86="JA",Eingabeblatt!$I$10="NEIN"),I14-I16,0))</f>
        <v>0</v>
      </c>
      <c r="J85" s="932">
        <f>IF(AND(J86="JA",J14&gt;=J16),IF(Eingabeblatt!$D$7="JA",(J14-J16)*1.25,J14-J16),IF(AND(J86="JA",Eingabeblatt!$I$10="NEIN"),J14-J16,0))</f>
        <v>0</v>
      </c>
      <c r="K85" s="932">
        <f>IF(AND(K86="JA",K14&gt;=K16),IF(Eingabeblatt!$D$7="JA",(K14-K16)*1.25,K14-K16),IF(AND(K86="JA",Eingabeblatt!$I$10="NEIN"),K14-K16,0))</f>
        <v>0</v>
      </c>
      <c r="L85" s="932">
        <f>IF(AND(L86="JA",L14&gt;=L16),IF(Eingabeblatt!$D$7="JA",(L14-L16)*1.25,L14-L16),IF(AND(L86="JA",Eingabeblatt!$I$10="NEIN"),L14-L16,0))</f>
        <v>0</v>
      </c>
      <c r="M85" s="932">
        <f>IF(AND(M86="JA",M14&gt;=M16),IF(Eingabeblatt!$D$7="JA",(M14-M16)*1.25,M14-M16),IF(AND(M86="JA",Eingabeblatt!$I$10="NEIN"),M14-M16,0))</f>
        <v>0</v>
      </c>
      <c r="N85" s="932">
        <f>IF(AND(N86="JA",N14&gt;=N16),IF(Eingabeblatt!$D$7="JA",(N14-N16)*1.25,N14-N16),IF(AND(N86="JA",Eingabeblatt!$I$10="NEIN"),N14-N16,0))</f>
        <v>0</v>
      </c>
      <c r="O85" s="932">
        <f>IF(AND(O86="JA",O14&gt;=O16),IF(Eingabeblatt!$D$7="JA",(O14-O16)*1.25,O14-O16),IF(AND(O86="JA",Eingabeblatt!$I$10="NEIN"),O14-O16,0))</f>
        <v>0</v>
      </c>
      <c r="P85" s="932">
        <f>IF(AND(P86="JA",P14&gt;=P16),IF(Eingabeblatt!$D$7="JA",(P14-P16)*1.25,P14-P16),IF(AND(P86="JA",Eingabeblatt!$I$10="NEIN"),P14-P16,0))</f>
        <v>0</v>
      </c>
      <c r="Q85" s="932">
        <f>IF(AND(Q86="JA",Q14&gt;=Q16),IF(Eingabeblatt!$D$7="JA",(Q14-Q16)*1.25,Q14-Q16),IF(AND(Q86="JA",Eingabeblatt!$I$10="NEIN"),Q14-Q16,0))</f>
        <v>0</v>
      </c>
      <c r="R85" s="932">
        <f>IF(AND(R86="JA",R14&gt;=R16),IF(Eingabeblatt!$D$7="JA",(R14-R16)*1.25,R14-R16),IF(AND(R86="JA",Eingabeblatt!$I$10="NEIN"),R14-R16,0))</f>
        <v>0</v>
      </c>
      <c r="S85" s="932">
        <f>IF(AND(S86="JA",S14&gt;=S16),IF(Eingabeblatt!$D$7="JA",(S14-S16)*1.25,S14-S16),IF(AND(S86="JA",Eingabeblatt!$I$10="NEIN"),S14-S16,0))</f>
        <v>0</v>
      </c>
      <c r="T85" s="932">
        <f>IF(AND(T86="JA",T14&gt;=T16),IF(Eingabeblatt!$D$7="JA",(T14-T16)*1.25,T14-T16),IF(AND(T86="JA",Eingabeblatt!$I$10="NEIN"),T14-T16,0))</f>
        <v>0</v>
      </c>
      <c r="U85" s="932">
        <f>IF(AND(U86="JA",U14&gt;=U16),IF(Eingabeblatt!$D$7="JA",(U14-U16)*1.25,U14-U16),IF(AND(U86="JA",Eingabeblatt!$I$10="NEIN"),U14-U16,0))</f>
        <v>0</v>
      </c>
      <c r="V85" s="932">
        <f>IF(AND(V86="JA",V14&gt;=V16),IF(Eingabeblatt!$D$7="JA",(V14-V16)*1.25,V14-V16),IF(AND(V86="JA",Eingabeblatt!$I$10="NEIN"),V14-V16,0))</f>
        <v>0</v>
      </c>
      <c r="W85" s="932">
        <f>IF(AND(W86="JA",W14&gt;=W16),IF(Eingabeblatt!$D$7="JA",(W14-W16)*1.25,W14-W16),IF(AND(W86="JA",Eingabeblatt!$I$10="NEIN"),W14-W16,0))</f>
        <v>0</v>
      </c>
      <c r="X85" s="932">
        <f>IF(AND(X86="JA",X14&gt;=X16),IF(Eingabeblatt!$D$7="JA",(X14-X16)*1.25,X14-X16),IF(AND(X86="JA",Eingabeblatt!$I$10="NEIN"),X14-X16,0))</f>
        <v>0</v>
      </c>
      <c r="Y85" s="932">
        <f>IF(AND(Y86="JA",Y14&gt;=Y16),IF(Eingabeblatt!$D$7="JA",(Y14-Y16)*1.25,Y14-Y16),IF(AND(Y86="JA",Eingabeblatt!$I$10="NEIN"),Y14-Y16,0))</f>
        <v>0</v>
      </c>
      <c r="Z85" s="932">
        <f>IF(AND(Z86="JA",Z14&gt;=Z16),IF(Eingabeblatt!$D$7="JA",(Z14-Z16)*1.25,Z14-Z16),IF(AND(Z86="JA",Eingabeblatt!$I$10="NEIN"),Z14-Z16,0))</f>
        <v>0</v>
      </c>
      <c r="AA85" s="932">
        <f>IF(AND(AA86="JA",AA14&gt;=AA16),IF(Eingabeblatt!$D$7="JA",(AA14-AA16)*1.25,AA14-AA16),IF(AND(AA86="JA",Eingabeblatt!$I$10="NEIN"),AA14-AA16,0))</f>
        <v>0</v>
      </c>
      <c r="AB85" s="932">
        <f>IF(AND(AB86="JA",AB14&gt;=AB16),IF(Eingabeblatt!$D$7="JA",(AB14-AB16)*1.25,AB14-AB16),IF(AND(AB86="JA",Eingabeblatt!$I$10="NEIN"),AB14-AB16,0))</f>
        <v>0</v>
      </c>
      <c r="AC85" s="932">
        <f>IF(AND(AC86="JA",AC14&gt;=AC16),IF(Eingabeblatt!$D$7="JA",(AC14-AC16)*1.25,AC14-AC16),IF(AND(AC86="JA",Eingabeblatt!$I$10="NEIN"),AC14-AC16,0))</f>
        <v>0</v>
      </c>
      <c r="AD85" s="932">
        <f>IF(AND(AD86="JA",AD14&gt;=AD16),IF(Eingabeblatt!$D$7="JA",(AD14-AD16)*1.25,AD14-AD16),IF(AND(AD86="JA",Eingabeblatt!$I$10="NEIN"),AD14-AD16,0))</f>
        <v>0</v>
      </c>
      <c r="AE85" s="932">
        <f>IF(AND(AE86="JA",AE14&gt;=AE16),IF(Eingabeblatt!$D$7="JA",(AE14-AE16)*1.25,AE14-AE16),IF(AND(AE86="JA",Eingabeblatt!$I$10="NEIN"),AE14-AE16,0))</f>
        <v>0</v>
      </c>
      <c r="AF85" s="932">
        <f>IF(AND(AF86="JA",AF14&gt;=AF16),IF(Eingabeblatt!$D$7="JA",(AF14-AF16)*1.25,AF14-AF16),IF(AND(AF86="JA",Eingabeblatt!$I$10="NEIN"),AF14-AF16,0))</f>
        <v>0</v>
      </c>
      <c r="AG85" s="932">
        <f>IF(AND(AG86="JA",AG14&gt;=AG16),IF(Eingabeblatt!$D$7="JA",(AG14-AG16)*1.25,AG14-AG16),IF(AND(AG86="JA",Eingabeblatt!$I$10="NEIN"),AG14-AG16,0))</f>
        <v>0</v>
      </c>
      <c r="AH85" s="932">
        <f>IF(AND(AH86="JA",AH14&gt;=AH16),IF(Eingabeblatt!$D$7="JA",(AH14-AH16)*1.25,AH14-AH16),IF(AND(AH86="JA",Eingabeblatt!$I$10="NEIN"),AH14-AH16,0))</f>
        <v>0</v>
      </c>
      <c r="AI85" s="933">
        <f>IF(AND(AI86="JA",AI14&gt;=AI16),IF(Eingabeblatt!$D$7="JA",(AI14-AI16)*1.25,AI14-AI16),IF(AND(AI86="JA",Eingabeblatt!$I$10="NEIN"),AI14-AI16,0))</f>
        <v>0</v>
      </c>
      <c r="AJ85" s="1081">
        <f>SUM(E85:AI85)</f>
        <v>0</v>
      </c>
      <c r="AK85" s="990">
        <f>ROUND(B85+D85+AJ85,8)</f>
        <v>0</v>
      </c>
      <c r="AL85" s="141" t="s">
        <v>434</v>
      </c>
      <c r="AM85" s="91"/>
      <c r="AN85" s="113"/>
      <c r="AO85" s="89"/>
      <c r="AP85" s="89"/>
      <c r="AQ85" s="89"/>
      <c r="AR85" s="89"/>
    </row>
    <row r="86" spans="1:44" ht="15" hidden="1" customHeight="1" outlineLevel="1" x14ac:dyDescent="0.2">
      <c r="A86" s="8" t="s">
        <v>424</v>
      </c>
      <c r="B86" s="934"/>
      <c r="C86" s="935" t="s">
        <v>435</v>
      </c>
      <c r="D86" s="936"/>
      <c r="E86" s="937" t="s">
        <v>436</v>
      </c>
      <c r="F86" s="938" t="s">
        <v>436</v>
      </c>
      <c r="G86" s="938" t="s">
        <v>436</v>
      </c>
      <c r="H86" s="938" t="s">
        <v>436</v>
      </c>
      <c r="I86" s="938" t="s">
        <v>436</v>
      </c>
      <c r="J86" s="938" t="s">
        <v>436</v>
      </c>
      <c r="K86" s="938" t="s">
        <v>436</v>
      </c>
      <c r="L86" s="938" t="s">
        <v>436</v>
      </c>
      <c r="M86" s="938" t="s">
        <v>436</v>
      </c>
      <c r="N86" s="938" t="s">
        <v>436</v>
      </c>
      <c r="O86" s="938" t="s">
        <v>436</v>
      </c>
      <c r="P86" s="938" t="s">
        <v>436</v>
      </c>
      <c r="Q86" s="938" t="s">
        <v>436</v>
      </c>
      <c r="R86" s="938" t="s">
        <v>436</v>
      </c>
      <c r="S86" s="938" t="s">
        <v>436</v>
      </c>
      <c r="T86" s="938" t="s">
        <v>436</v>
      </c>
      <c r="U86" s="938" t="s">
        <v>436</v>
      </c>
      <c r="V86" s="938" t="s">
        <v>436</v>
      </c>
      <c r="W86" s="938" t="s">
        <v>436</v>
      </c>
      <c r="X86" s="938" t="s">
        <v>436</v>
      </c>
      <c r="Y86" s="938" t="s">
        <v>436</v>
      </c>
      <c r="Z86" s="938" t="s">
        <v>436</v>
      </c>
      <c r="AA86" s="938" t="s">
        <v>436</v>
      </c>
      <c r="AB86" s="938" t="s">
        <v>436</v>
      </c>
      <c r="AC86" s="938" t="s">
        <v>436</v>
      </c>
      <c r="AD86" s="938" t="s">
        <v>436</v>
      </c>
      <c r="AE86" s="938" t="s">
        <v>436</v>
      </c>
      <c r="AF86" s="938" t="s">
        <v>436</v>
      </c>
      <c r="AG86" s="938" t="s">
        <v>436</v>
      </c>
      <c r="AH86" s="938" t="s">
        <v>436</v>
      </c>
      <c r="AI86" s="939" t="s">
        <v>436</v>
      </c>
      <c r="AK86" s="210"/>
      <c r="AL86" s="141" t="s">
        <v>437</v>
      </c>
      <c r="AM86" s="89"/>
      <c r="AN86" s="113"/>
      <c r="AO86" s="89"/>
      <c r="AP86" s="89"/>
      <c r="AQ86" s="89"/>
      <c r="AR86" s="89"/>
    </row>
    <row r="87" spans="1:44" ht="15" hidden="1" customHeight="1" outlineLevel="1" x14ac:dyDescent="0.2">
      <c r="A87" s="8" t="s">
        <v>424</v>
      </c>
      <c r="B87" s="934"/>
      <c r="C87" s="934" t="str">
        <f>"Zuschlagsber. = " &amp; Eingabeblatt!$D$7</f>
        <v>Zuschlagsber. = NEIN</v>
      </c>
      <c r="D87" s="936"/>
      <c r="E87" s="940"/>
      <c r="F87" s="941"/>
      <c r="G87" s="941"/>
      <c r="H87" s="941"/>
      <c r="I87" s="941"/>
      <c r="J87" s="941"/>
      <c r="K87" s="941"/>
      <c r="L87" s="941"/>
      <c r="M87" s="941"/>
      <c r="N87" s="941"/>
      <c r="O87" s="941"/>
      <c r="P87" s="941"/>
      <c r="Q87" s="941"/>
      <c r="R87" s="941"/>
      <c r="S87" s="941"/>
      <c r="T87" s="941"/>
      <c r="U87" s="941"/>
      <c r="V87" s="941"/>
      <c r="W87" s="941"/>
      <c r="X87" s="941"/>
      <c r="Y87" s="941"/>
      <c r="Z87" s="941"/>
      <c r="AA87" s="941"/>
      <c r="AB87" s="941"/>
      <c r="AC87" s="941"/>
      <c r="AD87" s="941"/>
      <c r="AE87" s="941"/>
      <c r="AF87" s="941"/>
      <c r="AG87" s="941"/>
      <c r="AH87" s="941"/>
      <c r="AI87" s="942"/>
      <c r="AK87" s="210"/>
      <c r="AL87" s="113"/>
      <c r="AM87" s="113"/>
      <c r="AN87" s="113"/>
      <c r="AO87" s="89"/>
      <c r="AP87" s="89"/>
      <c r="AQ87" s="89"/>
      <c r="AR87" s="89"/>
    </row>
    <row r="88" spans="1:44" hidden="1" outlineLevel="1" collapsed="1" x14ac:dyDescent="0.2">
      <c r="E88" s="323"/>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5"/>
      <c r="AK88" s="211"/>
      <c r="AL88" s="113"/>
      <c r="AM88" s="89"/>
      <c r="AN88" s="113"/>
      <c r="AO88" s="89"/>
      <c r="AP88" s="89"/>
      <c r="AQ88" s="89"/>
      <c r="AR88" s="89"/>
    </row>
    <row r="89" spans="1:44" ht="12.75" hidden="1" customHeight="1" outlineLevel="1" x14ac:dyDescent="0.2">
      <c r="C89" s="212"/>
      <c r="E89" s="326"/>
      <c r="F89" s="324"/>
      <c r="G89" s="324"/>
      <c r="H89" s="324"/>
      <c r="I89" s="324"/>
      <c r="J89" s="324"/>
      <c r="K89" s="324"/>
      <c r="L89" s="324"/>
      <c r="M89" s="324"/>
      <c r="N89" s="324" t="s">
        <v>438</v>
      </c>
      <c r="O89" s="324"/>
      <c r="P89" s="324"/>
      <c r="Q89" s="324"/>
      <c r="R89" s="324"/>
      <c r="S89" s="324"/>
      <c r="T89" s="324"/>
      <c r="U89" s="324"/>
      <c r="V89" s="324"/>
      <c r="W89" s="324"/>
      <c r="X89" s="324"/>
      <c r="Y89" s="324"/>
      <c r="Z89" s="324"/>
      <c r="AA89" s="324"/>
      <c r="AB89" s="324"/>
      <c r="AC89" s="324"/>
      <c r="AD89" s="324"/>
      <c r="AE89" s="324"/>
      <c r="AF89" s="324"/>
      <c r="AG89" s="324"/>
      <c r="AH89" s="324"/>
      <c r="AI89" s="325"/>
      <c r="AK89" s="210"/>
      <c r="AL89" s="113"/>
      <c r="AM89" s="89"/>
      <c r="AN89" s="89"/>
      <c r="AO89" s="89"/>
      <c r="AP89" s="89"/>
      <c r="AQ89" s="89"/>
      <c r="AR89" s="89"/>
    </row>
    <row r="90" spans="1:44" ht="28.5" hidden="1" customHeight="1" outlineLevel="1" x14ac:dyDescent="0.2">
      <c r="C90" s="213" t="s">
        <v>439</v>
      </c>
      <c r="E90" s="326"/>
      <c r="F90" s="324"/>
      <c r="G90" s="324"/>
      <c r="H90" s="324"/>
      <c r="I90" s="324"/>
      <c r="J90" s="324"/>
      <c r="K90" s="327"/>
      <c r="L90" s="327"/>
      <c r="M90" s="327"/>
      <c r="N90" s="324"/>
      <c r="O90" s="324"/>
      <c r="P90" s="324"/>
      <c r="Q90" s="324"/>
      <c r="R90" s="324"/>
      <c r="S90" s="324"/>
      <c r="T90" s="324"/>
      <c r="U90" s="324"/>
      <c r="V90" s="324"/>
      <c r="W90" s="324"/>
      <c r="X90" s="324"/>
      <c r="Y90" s="324"/>
      <c r="Z90" s="324"/>
      <c r="AA90" s="324"/>
      <c r="AB90" s="324"/>
      <c r="AC90" s="324"/>
      <c r="AD90" s="324"/>
      <c r="AE90" s="324"/>
      <c r="AF90" s="324"/>
      <c r="AG90" s="324"/>
      <c r="AH90" s="324"/>
      <c r="AI90" s="325"/>
      <c r="AK90" s="210"/>
      <c r="AL90" s="113"/>
      <c r="AM90" s="89"/>
      <c r="AN90" s="89"/>
      <c r="AO90" s="89"/>
      <c r="AP90" s="89"/>
      <c r="AQ90" s="89"/>
      <c r="AR90" s="89"/>
    </row>
    <row r="91" spans="1:44" ht="28.5" hidden="1" customHeight="1" outlineLevel="1" thickBot="1" x14ac:dyDescent="0.3">
      <c r="C91" s="214" t="s">
        <v>440</v>
      </c>
      <c r="D91" s="215"/>
      <c r="E91" s="236"/>
      <c r="F91" s="327"/>
      <c r="G91" s="327"/>
      <c r="H91" s="327"/>
      <c r="I91" s="327"/>
      <c r="J91" s="327"/>
      <c r="K91" s="327"/>
      <c r="L91" s="327"/>
      <c r="M91" s="327"/>
      <c r="N91" s="327"/>
      <c r="O91" s="327"/>
      <c r="P91" s="327"/>
      <c r="Q91" s="327"/>
      <c r="R91" s="327"/>
      <c r="S91" s="327"/>
      <c r="T91" s="327"/>
      <c r="U91" s="328" t="s">
        <v>441</v>
      </c>
      <c r="V91" s="327"/>
      <c r="W91" s="327"/>
      <c r="X91" s="327"/>
      <c r="Y91" s="327"/>
      <c r="Z91" s="327"/>
      <c r="AA91" s="327"/>
      <c r="AB91" s="327"/>
      <c r="AC91" s="327"/>
      <c r="AD91" s="327"/>
      <c r="AE91" s="327"/>
      <c r="AF91" s="328" t="s">
        <v>442</v>
      </c>
      <c r="AG91" s="327"/>
      <c r="AH91" s="943"/>
      <c r="AI91" s="329"/>
      <c r="AJ91" s="88"/>
      <c r="AK91" s="216"/>
      <c r="AL91" s="113"/>
      <c r="AM91" s="89"/>
      <c r="AN91" s="89"/>
      <c r="AO91" s="89"/>
      <c r="AP91" s="89"/>
      <c r="AQ91" s="89"/>
      <c r="AR91" s="89"/>
    </row>
    <row r="92" spans="1:44" ht="28.5" hidden="1" customHeight="1" outlineLevel="1" thickBot="1" x14ac:dyDescent="0.25">
      <c r="C92" s="217" t="s">
        <v>443</v>
      </c>
      <c r="E92" s="326"/>
      <c r="F92" s="324"/>
      <c r="G92" s="324"/>
      <c r="H92" s="324"/>
      <c r="I92" s="330"/>
      <c r="J92" s="324"/>
      <c r="K92" s="327"/>
      <c r="L92" s="327"/>
      <c r="M92" s="327"/>
      <c r="N92" s="324"/>
      <c r="O92" s="324"/>
      <c r="P92" s="324"/>
      <c r="Q92" s="324"/>
      <c r="R92" s="324"/>
      <c r="S92" s="324"/>
      <c r="T92" s="324"/>
      <c r="U92" s="324"/>
      <c r="V92" s="324"/>
      <c r="W92" s="324"/>
      <c r="X92" s="324"/>
      <c r="Y92" s="324"/>
      <c r="Z92" s="324"/>
      <c r="AA92" s="324"/>
      <c r="AB92" s="324"/>
      <c r="AC92" s="324"/>
      <c r="AD92" s="324"/>
      <c r="AE92" s="324"/>
      <c r="AF92" s="324"/>
      <c r="AG92" s="324"/>
      <c r="AH92" s="324"/>
      <c r="AI92" s="325"/>
      <c r="AK92" s="210"/>
      <c r="AL92" s="113"/>
      <c r="AM92" s="89"/>
      <c r="AN92" s="89"/>
      <c r="AO92" s="89"/>
      <c r="AP92" s="89"/>
      <c r="AQ92" s="89"/>
      <c r="AR92" s="89"/>
    </row>
    <row r="93" spans="1:44" ht="28.5" hidden="1" customHeight="1" outlineLevel="1" x14ac:dyDescent="0.2">
      <c r="C93" s="217"/>
      <c r="E93" s="326"/>
      <c r="F93" s="324"/>
      <c r="G93" s="324"/>
      <c r="H93" s="324"/>
      <c r="I93" s="324"/>
      <c r="J93" s="324"/>
      <c r="K93" s="327"/>
      <c r="L93" s="327"/>
      <c r="M93" s="327"/>
      <c r="N93" s="324"/>
      <c r="O93" s="324"/>
      <c r="P93" s="324"/>
      <c r="Q93" s="324"/>
      <c r="R93" s="324"/>
      <c r="S93" s="324"/>
      <c r="T93" s="324"/>
      <c r="U93" s="324"/>
      <c r="V93" s="324"/>
      <c r="W93" s="324"/>
      <c r="X93" s="324"/>
      <c r="Y93" s="324"/>
      <c r="Z93" s="324"/>
      <c r="AA93" s="324"/>
      <c r="AB93" s="324"/>
      <c r="AC93" s="324"/>
      <c r="AD93" s="324"/>
      <c r="AE93" s="324"/>
      <c r="AF93" s="324"/>
      <c r="AG93" s="324"/>
      <c r="AH93" s="324"/>
      <c r="AI93" s="325"/>
      <c r="AK93" s="210"/>
      <c r="AL93" s="113"/>
      <c r="AM93" s="89"/>
      <c r="AN93" s="89"/>
      <c r="AO93" s="89"/>
      <c r="AP93" s="89"/>
      <c r="AQ93" s="89"/>
      <c r="AR93" s="89"/>
    </row>
    <row r="94" spans="1:44" collapsed="1" x14ac:dyDescent="0.2">
      <c r="A94" s="165"/>
      <c r="B94" s="185"/>
      <c r="C94" s="340" t="str">
        <f>IF(ctArbeitsgebiete!H20&lt;&gt;"",ctArbeitsgebiete!H20,"")</f>
        <v/>
      </c>
      <c r="D94" s="334"/>
      <c r="E94" s="944"/>
      <c r="F94" s="945"/>
      <c r="G94" s="945"/>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6"/>
      <c r="AJ94" s="1082">
        <f>SUM(E94:AI94)</f>
        <v>0</v>
      </c>
      <c r="AK94" s="152"/>
      <c r="AL94" s="113"/>
      <c r="AM94" s="89"/>
      <c r="AN94" s="89"/>
      <c r="AO94" s="89"/>
      <c r="AP94" s="89"/>
      <c r="AQ94" s="89"/>
      <c r="AR94" s="89"/>
    </row>
    <row r="95" spans="1:44" x14ac:dyDescent="0.2">
      <c r="A95" s="165"/>
      <c r="B95" s="185"/>
      <c r="C95" s="340" t="str">
        <f>IF(ctArbeitsgebiete!H21&lt;&gt;"",ctArbeitsgebiete!H21,"")</f>
        <v/>
      </c>
      <c r="D95" s="334"/>
      <c r="E95" s="944"/>
      <c r="F95" s="945"/>
      <c r="G95" s="945"/>
      <c r="H95" s="945"/>
      <c r="I95" s="945"/>
      <c r="J95" s="945"/>
      <c r="K95" s="945"/>
      <c r="L95" s="945"/>
      <c r="M95" s="945"/>
      <c r="N95" s="945"/>
      <c r="O95" s="945"/>
      <c r="P95" s="945"/>
      <c r="Q95" s="945"/>
      <c r="R95" s="945"/>
      <c r="S95" s="945"/>
      <c r="T95" s="945"/>
      <c r="U95" s="945"/>
      <c r="V95" s="945"/>
      <c r="W95" s="945"/>
      <c r="X95" s="945"/>
      <c r="Y95" s="945"/>
      <c r="Z95" s="945"/>
      <c r="AA95" s="945"/>
      <c r="AB95" s="945"/>
      <c r="AC95" s="945"/>
      <c r="AD95" s="945"/>
      <c r="AE95" s="945"/>
      <c r="AF95" s="945"/>
      <c r="AG95" s="945"/>
      <c r="AH95" s="945"/>
      <c r="AI95" s="946"/>
      <c r="AJ95" s="338">
        <f t="shared" ref="AJ95:AJ105" si="15">SUM(E95:AI95)</f>
        <v>0</v>
      </c>
      <c r="AK95" s="152"/>
      <c r="AL95" s="113"/>
      <c r="AM95" s="89"/>
      <c r="AN95" s="89"/>
      <c r="AO95" s="89"/>
      <c r="AP95" s="89"/>
      <c r="AQ95" s="89"/>
      <c r="AR95" s="89"/>
    </row>
    <row r="96" spans="1:44" x14ac:dyDescent="0.2">
      <c r="A96" s="165"/>
      <c r="B96" s="185"/>
      <c r="C96" s="340" t="str">
        <f>IF(ctArbeitsgebiete!H22&lt;&gt;"",ctArbeitsgebiete!H22,"")</f>
        <v/>
      </c>
      <c r="D96" s="334"/>
      <c r="E96" s="944"/>
      <c r="F96" s="945"/>
      <c r="G96" s="945"/>
      <c r="H96" s="945"/>
      <c r="I96" s="945"/>
      <c r="J96" s="945"/>
      <c r="K96" s="945"/>
      <c r="L96" s="945"/>
      <c r="M96" s="945"/>
      <c r="N96" s="945"/>
      <c r="O96" s="945"/>
      <c r="P96" s="945"/>
      <c r="Q96" s="945"/>
      <c r="R96" s="945"/>
      <c r="S96" s="945"/>
      <c r="T96" s="945"/>
      <c r="U96" s="945"/>
      <c r="V96" s="945"/>
      <c r="W96" s="945"/>
      <c r="X96" s="945"/>
      <c r="Y96" s="945"/>
      <c r="Z96" s="945"/>
      <c r="AA96" s="945"/>
      <c r="AB96" s="945"/>
      <c r="AC96" s="945"/>
      <c r="AD96" s="945"/>
      <c r="AE96" s="945"/>
      <c r="AF96" s="945"/>
      <c r="AG96" s="945"/>
      <c r="AH96" s="945"/>
      <c r="AI96" s="946"/>
      <c r="AJ96" s="338">
        <f t="shared" si="15"/>
        <v>0</v>
      </c>
      <c r="AK96" s="152"/>
      <c r="AL96" s="113"/>
      <c r="AM96" s="89"/>
      <c r="AN96" s="89"/>
      <c r="AO96" s="89"/>
      <c r="AP96" s="89"/>
      <c r="AQ96" s="89"/>
      <c r="AR96" s="89"/>
    </row>
    <row r="97" spans="1:44" x14ac:dyDescent="0.2">
      <c r="A97" s="165"/>
      <c r="B97" s="185"/>
      <c r="C97" s="340" t="str">
        <f>IF(ctArbeitsgebiete!H23&lt;&gt;"",ctArbeitsgebiete!H23,"")</f>
        <v/>
      </c>
      <c r="D97" s="334"/>
      <c r="E97" s="944"/>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6"/>
      <c r="AJ97" s="338">
        <f t="shared" si="15"/>
        <v>0</v>
      </c>
      <c r="AK97" s="152"/>
      <c r="AL97" s="113"/>
      <c r="AM97" s="89"/>
      <c r="AN97" s="89"/>
      <c r="AO97" s="89"/>
      <c r="AP97" s="89"/>
      <c r="AQ97" s="89"/>
      <c r="AR97" s="89"/>
    </row>
    <row r="98" spans="1:44" x14ac:dyDescent="0.2">
      <c r="A98" s="165"/>
      <c r="B98" s="185"/>
      <c r="C98" s="340" t="str">
        <f>IF(ctArbeitsgebiete!H24&lt;&gt;"",ctArbeitsgebiete!H24,"")</f>
        <v/>
      </c>
      <c r="D98" s="334"/>
      <c r="E98" s="944"/>
      <c r="F98" s="945"/>
      <c r="G98" s="945"/>
      <c r="H98" s="945"/>
      <c r="I98" s="945"/>
      <c r="J98" s="945"/>
      <c r="K98" s="945"/>
      <c r="L98" s="945"/>
      <c r="M98" s="945"/>
      <c r="N98" s="945"/>
      <c r="O98" s="945"/>
      <c r="P98" s="945"/>
      <c r="Q98" s="945"/>
      <c r="R98" s="945"/>
      <c r="S98" s="945"/>
      <c r="T98" s="945"/>
      <c r="U98" s="945"/>
      <c r="V98" s="945"/>
      <c r="W98" s="945"/>
      <c r="X98" s="945"/>
      <c r="Y98" s="945"/>
      <c r="Z98" s="945"/>
      <c r="AA98" s="945"/>
      <c r="AB98" s="945"/>
      <c r="AC98" s="945"/>
      <c r="AD98" s="945"/>
      <c r="AE98" s="945"/>
      <c r="AF98" s="945"/>
      <c r="AG98" s="945"/>
      <c r="AH98" s="945"/>
      <c r="AI98" s="946"/>
      <c r="AJ98" s="338">
        <f t="shared" si="15"/>
        <v>0</v>
      </c>
      <c r="AK98" s="152"/>
      <c r="AL98" s="113"/>
      <c r="AM98" s="89"/>
      <c r="AN98" s="89"/>
      <c r="AO98" s="89"/>
      <c r="AP98" s="89"/>
      <c r="AQ98" s="89"/>
      <c r="AR98" s="89"/>
    </row>
    <row r="99" spans="1:44" x14ac:dyDescent="0.2">
      <c r="A99" s="165"/>
      <c r="B99" s="185"/>
      <c r="C99" s="340" t="str">
        <f>IF(ctArbeitsgebiete!H25&lt;&gt;"",ctArbeitsgebiete!H25,"")</f>
        <v/>
      </c>
      <c r="D99" s="334"/>
      <c r="E99" s="944"/>
      <c r="F99" s="945"/>
      <c r="G99" s="945"/>
      <c r="H99" s="945"/>
      <c r="I99" s="945"/>
      <c r="J99" s="945"/>
      <c r="K99" s="945"/>
      <c r="L99" s="945"/>
      <c r="M99" s="945"/>
      <c r="N99" s="945"/>
      <c r="O99" s="945"/>
      <c r="P99" s="945"/>
      <c r="Q99" s="945"/>
      <c r="R99" s="945"/>
      <c r="S99" s="945"/>
      <c r="T99" s="945"/>
      <c r="U99" s="945"/>
      <c r="V99" s="945"/>
      <c r="W99" s="945"/>
      <c r="X99" s="945"/>
      <c r="Y99" s="945"/>
      <c r="Z99" s="945"/>
      <c r="AA99" s="945"/>
      <c r="AB99" s="945"/>
      <c r="AC99" s="945"/>
      <c r="AD99" s="945"/>
      <c r="AE99" s="945"/>
      <c r="AF99" s="945"/>
      <c r="AG99" s="945"/>
      <c r="AH99" s="945"/>
      <c r="AI99" s="946"/>
      <c r="AJ99" s="338">
        <f t="shared" si="15"/>
        <v>0</v>
      </c>
      <c r="AK99" s="152"/>
      <c r="AL99" s="113"/>
      <c r="AM99" s="89"/>
      <c r="AN99" s="89"/>
      <c r="AO99" s="89"/>
      <c r="AP99" s="89"/>
      <c r="AQ99" s="89"/>
      <c r="AR99" s="89"/>
    </row>
    <row r="100" spans="1:44" x14ac:dyDescent="0.2">
      <c r="A100" s="165"/>
      <c r="B100" s="185"/>
      <c r="C100" s="340" t="str">
        <f>IF(ctArbeitsgebiete!H26&lt;&gt;"",ctArbeitsgebiete!H26,"")</f>
        <v/>
      </c>
      <c r="D100" s="334"/>
      <c r="E100" s="944"/>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B100" s="945"/>
      <c r="AC100" s="945"/>
      <c r="AD100" s="945"/>
      <c r="AE100" s="945"/>
      <c r="AF100" s="945"/>
      <c r="AG100" s="945"/>
      <c r="AH100" s="945"/>
      <c r="AI100" s="946"/>
      <c r="AJ100" s="338">
        <f t="shared" si="15"/>
        <v>0</v>
      </c>
      <c r="AK100" s="152"/>
      <c r="AL100" s="113"/>
      <c r="AM100" s="89"/>
      <c r="AN100" s="89"/>
      <c r="AO100" s="89"/>
      <c r="AP100" s="89"/>
      <c r="AQ100" s="89"/>
      <c r="AR100" s="89"/>
    </row>
    <row r="101" spans="1:44" x14ac:dyDescent="0.2">
      <c r="A101" s="165"/>
      <c r="B101" s="185"/>
      <c r="C101" s="345" t="str">
        <f>IF(ctArbeitsgebiete!H27&lt;&gt;"",ctArbeitsgebiete!H27,"")</f>
        <v/>
      </c>
      <c r="D101" s="346"/>
      <c r="E101" s="947"/>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9"/>
      <c r="AJ101" s="347">
        <f t="shared" si="15"/>
        <v>0</v>
      </c>
      <c r="AK101" s="152"/>
      <c r="AL101" s="113"/>
      <c r="AM101" s="89"/>
      <c r="AN101" s="89"/>
      <c r="AO101" s="89"/>
      <c r="AP101" s="89"/>
      <c r="AQ101" s="89"/>
      <c r="AR101" s="89"/>
    </row>
    <row r="102" spans="1:44" x14ac:dyDescent="0.2">
      <c r="A102" s="165"/>
      <c r="B102" s="185"/>
      <c r="C102" s="992" t="str">
        <f>IF(ctArbeitsgebiete!E24&lt;&gt;"",ctArbeitsgebiete!E24,"")</f>
        <v/>
      </c>
      <c r="D102" s="1083"/>
      <c r="E102" s="1084"/>
      <c r="F102" s="1085"/>
      <c r="G102" s="1085"/>
      <c r="H102" s="1085"/>
      <c r="I102" s="1085"/>
      <c r="J102" s="1085"/>
      <c r="K102" s="1085"/>
      <c r="L102" s="1085"/>
      <c r="M102" s="1085"/>
      <c r="N102" s="1085"/>
      <c r="O102" s="1085"/>
      <c r="P102" s="1085"/>
      <c r="Q102" s="1085"/>
      <c r="R102" s="1085"/>
      <c r="S102" s="1085"/>
      <c r="T102" s="1085"/>
      <c r="U102" s="1085"/>
      <c r="V102" s="1085"/>
      <c r="W102" s="1085"/>
      <c r="X102" s="1085"/>
      <c r="Y102" s="1085"/>
      <c r="Z102" s="1085"/>
      <c r="AA102" s="1085"/>
      <c r="AB102" s="1085"/>
      <c r="AC102" s="1085"/>
      <c r="AD102" s="1085"/>
      <c r="AE102" s="1085"/>
      <c r="AF102" s="1085"/>
      <c r="AG102" s="1085"/>
      <c r="AH102" s="1085"/>
      <c r="AI102" s="1086"/>
      <c r="AJ102" s="1087">
        <f t="shared" si="15"/>
        <v>0</v>
      </c>
      <c r="AK102" s="152"/>
      <c r="AL102" s="113"/>
      <c r="AM102" s="89"/>
      <c r="AN102" s="89"/>
      <c r="AO102" s="89"/>
      <c r="AP102" s="89"/>
      <c r="AQ102" s="89"/>
      <c r="AR102" s="89"/>
    </row>
    <row r="103" spans="1:44" x14ac:dyDescent="0.2">
      <c r="A103" s="165"/>
      <c r="B103" s="185"/>
      <c r="C103" s="342" t="str">
        <f>IF(ctArbeitsgebiete!E25&lt;&gt;"",ctArbeitsgebiete!E25,"")</f>
        <v/>
      </c>
      <c r="D103" s="341"/>
      <c r="E103" s="944"/>
      <c r="F103" s="945"/>
      <c r="G103" s="945"/>
      <c r="H103" s="945"/>
      <c r="I103" s="945"/>
      <c r="J103" s="945"/>
      <c r="K103" s="945"/>
      <c r="L103" s="945"/>
      <c r="M103" s="945"/>
      <c r="N103" s="945"/>
      <c r="O103" s="945"/>
      <c r="P103" s="945"/>
      <c r="Q103" s="945"/>
      <c r="R103" s="945"/>
      <c r="S103" s="945"/>
      <c r="T103" s="945"/>
      <c r="U103" s="945"/>
      <c r="V103" s="945"/>
      <c r="W103" s="945"/>
      <c r="X103" s="945"/>
      <c r="Y103" s="945"/>
      <c r="Z103" s="945"/>
      <c r="AA103" s="945"/>
      <c r="AB103" s="945"/>
      <c r="AC103" s="945"/>
      <c r="AD103" s="945"/>
      <c r="AE103" s="945"/>
      <c r="AF103" s="945"/>
      <c r="AG103" s="945"/>
      <c r="AH103" s="945"/>
      <c r="AI103" s="946"/>
      <c r="AJ103" s="343">
        <f t="shared" si="15"/>
        <v>0</v>
      </c>
      <c r="AK103" s="152"/>
      <c r="AL103" s="113"/>
      <c r="AM103" s="89"/>
      <c r="AN103" s="89"/>
      <c r="AO103" s="89"/>
      <c r="AP103" s="89"/>
      <c r="AQ103" s="89"/>
      <c r="AR103" s="89"/>
    </row>
    <row r="104" spans="1:44" x14ac:dyDescent="0.2">
      <c r="A104" s="165"/>
      <c r="B104" s="185"/>
      <c r="C104" s="342" t="str">
        <f>IF(ctArbeitsgebiete!E26&lt;&gt;"",ctArbeitsgebiete!E26,"")</f>
        <v/>
      </c>
      <c r="D104" s="341"/>
      <c r="E104" s="944"/>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B104" s="945"/>
      <c r="AC104" s="945"/>
      <c r="AD104" s="945"/>
      <c r="AE104" s="945"/>
      <c r="AF104" s="945"/>
      <c r="AG104" s="945"/>
      <c r="AH104" s="945"/>
      <c r="AI104" s="946"/>
      <c r="AJ104" s="343">
        <f t="shared" si="15"/>
        <v>0</v>
      </c>
      <c r="AK104" s="152"/>
      <c r="AL104" s="113"/>
      <c r="AM104" s="89"/>
      <c r="AN104" s="89"/>
      <c r="AO104" s="89"/>
      <c r="AP104" s="89"/>
      <c r="AQ104" s="89"/>
      <c r="AR104" s="89"/>
    </row>
    <row r="105" spans="1:44" ht="13.5" thickBot="1" x14ac:dyDescent="0.25">
      <c r="A105" s="165"/>
      <c r="B105" s="185"/>
      <c r="C105" s="342" t="str">
        <f>IF(ctArbeitsgebiete!E27&lt;&gt;"",ctArbeitsgebiete!E27,"")</f>
        <v/>
      </c>
      <c r="D105" s="341"/>
      <c r="E105" s="950"/>
      <c r="F105" s="951"/>
      <c r="G105" s="951"/>
      <c r="H105" s="951"/>
      <c r="I105" s="951"/>
      <c r="J105" s="951"/>
      <c r="K105" s="951"/>
      <c r="L105" s="951"/>
      <c r="M105" s="951"/>
      <c r="N105" s="951"/>
      <c r="O105" s="951"/>
      <c r="P105" s="951"/>
      <c r="Q105" s="951"/>
      <c r="R105" s="951"/>
      <c r="S105" s="951"/>
      <c r="T105" s="951"/>
      <c r="U105" s="951"/>
      <c r="V105" s="951"/>
      <c r="W105" s="951"/>
      <c r="X105" s="951"/>
      <c r="Y105" s="951"/>
      <c r="Z105" s="951"/>
      <c r="AA105" s="951"/>
      <c r="AB105" s="951"/>
      <c r="AC105" s="951"/>
      <c r="AD105" s="951"/>
      <c r="AE105" s="951"/>
      <c r="AF105" s="951"/>
      <c r="AG105" s="951"/>
      <c r="AH105" s="951"/>
      <c r="AI105" s="952"/>
      <c r="AJ105" s="344">
        <f t="shared" si="15"/>
        <v>0</v>
      </c>
      <c r="AK105" s="152"/>
      <c r="AL105" s="113"/>
      <c r="AM105" s="89"/>
      <c r="AN105" s="89"/>
      <c r="AO105" s="89"/>
      <c r="AP105" s="89"/>
      <c r="AQ105" s="89"/>
      <c r="AR105" s="89"/>
    </row>
    <row r="106" spans="1:44" s="218" customFormat="1" ht="63.75" collapsed="1" x14ac:dyDescent="0.2">
      <c r="C106" s="219" t="s">
        <v>444</v>
      </c>
      <c r="D106" s="220"/>
      <c r="E106" s="335"/>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6"/>
      <c r="AF106" s="336"/>
      <c r="AG106" s="336"/>
      <c r="AH106" s="336"/>
      <c r="AI106" s="337"/>
      <c r="AJ106" s="339">
        <f>SUM(E106:AI106)</f>
        <v>0</v>
      </c>
      <c r="AL106" s="222"/>
    </row>
  </sheetData>
  <sheetProtection algorithmName="SHA-512" hashValue="GbVDSPkVDJEbDQ8iBtwDINEvebXAF53+UN9lNz5y9fjxj9rnl2o4d+C9WdOqNHijunddoWEcZmiiF+erPUUQGw==" saltValue="UR4HdJ67JNoVzFrlkNlJ5w==" spinCount="100000" sheet="1" selectLockedCells="1"/>
  <mergeCells count="1">
    <mergeCell ref="D3:D4"/>
  </mergeCells>
  <phoneticPr fontId="9" type="noConversion"/>
  <conditionalFormatting sqref="E3:AH4">
    <cfRule type="expression" dxfId="76" priority="108" stopIfTrue="1">
      <formula>WEEKDAY(E$3,2)=7</formula>
    </cfRule>
  </conditionalFormatting>
  <conditionalFormatting sqref="E7:AH7">
    <cfRule type="expression" dxfId="75" priority="1" stopIfTrue="1">
      <formula>WEEKDAY(E$3,2)=6</formula>
    </cfRule>
    <cfRule type="expression" dxfId="74" priority="2" stopIfTrue="1">
      <formula>WEEKDAY(E$3,2)=7</formula>
    </cfRule>
  </conditionalFormatting>
  <conditionalFormatting sqref="E8:AH8 E10:AH10 E12:AH12">
    <cfRule type="expression" dxfId="73" priority="105" stopIfTrue="1">
      <formula>WEEKDAY(E$3,2)=6</formula>
    </cfRule>
    <cfRule type="expression" dxfId="72" priority="106" stopIfTrue="1">
      <formula>WEEKDAY(E$3,2)=7</formula>
    </cfRule>
  </conditionalFormatting>
  <conditionalFormatting sqref="E9:AH9 E11:AH11">
    <cfRule type="expression" dxfId="71" priority="103" stopIfTrue="1">
      <formula>WEEKDAY(E$3,2)=6</formula>
    </cfRule>
    <cfRule type="expression" dxfId="70" priority="104" stopIfTrue="1">
      <formula>WEEKDAY(E$3,2)=7</formula>
    </cfRule>
  </conditionalFormatting>
  <conditionalFormatting sqref="E3:AI4">
    <cfRule type="expression" dxfId="69" priority="107" stopIfTrue="1">
      <formula>WEEKDAY(E$3,2)=6</formula>
    </cfRule>
  </conditionalFormatting>
  <conditionalFormatting sqref="E13:AI18">
    <cfRule type="expression" dxfId="68" priority="109" stopIfTrue="1">
      <formula>WEEKDAY(E$3,2)=6</formula>
    </cfRule>
    <cfRule type="expression" dxfId="67" priority="110" stopIfTrue="1">
      <formula>WEEKDAY(E$3,2)=7</formula>
    </cfRule>
  </conditionalFormatting>
  <conditionalFormatting sqref="E19:AI19">
    <cfRule type="expression" dxfId="66" priority="111" stopIfTrue="1">
      <formula>WEEKDAY(E$3,2)=6</formula>
    </cfRule>
    <cfRule type="expression" dxfId="65" priority="112" stopIfTrue="1">
      <formula>WEEKDAY(E$3,2)=7</formula>
    </cfRule>
  </conditionalFormatting>
  <conditionalFormatting sqref="E20:AI20 E39:AI39">
    <cfRule type="expression" dxfId="64" priority="99" stopIfTrue="1">
      <formula>WEEKDAY(E$3,2)=6</formula>
    </cfRule>
    <cfRule type="expression" dxfId="63" priority="100" stopIfTrue="1">
      <formula>WEEKDAY(E$3,2)=7</formula>
    </cfRule>
  </conditionalFormatting>
  <conditionalFormatting sqref="E21:AI21 E33:AI38">
    <cfRule type="expression" dxfId="62" priority="97" stopIfTrue="1">
      <formula>WEEKDAY(E$3,2)=6</formula>
    </cfRule>
    <cfRule type="expression" dxfId="61" priority="98" stopIfTrue="1">
      <formula>WEEKDAY(E$3,2)=7</formula>
    </cfRule>
  </conditionalFormatting>
  <conditionalFormatting sqref="E22:AI32 E41:AI85 E94:AI106">
    <cfRule type="expression" dxfId="60" priority="101" stopIfTrue="1">
      <formula>WEEKDAY(E$3,2)=6</formula>
    </cfRule>
    <cfRule type="expression" dxfId="59" priority="102" stopIfTrue="1">
      <formula>WEEKDAY(E$3,2)=7</formula>
    </cfRule>
  </conditionalFormatting>
  <conditionalFormatting sqref="E40:AI40">
    <cfRule type="cellIs" dxfId="58" priority="113" stopIfTrue="1" operator="notEqual">
      <formula>0</formula>
    </cfRule>
    <cfRule type="expression" dxfId="57" priority="114" stopIfTrue="1">
      <formula>WEEKDAY(E$3,2)=6</formula>
    </cfRule>
    <cfRule type="expression" dxfId="56" priority="115" stopIfTrue="1">
      <formula>WEEKDAY(E$3,2)=7</formula>
    </cfRule>
  </conditionalFormatting>
  <conditionalFormatting sqref="AI3:AI4">
    <cfRule type="expression" dxfId="55" priority="119" stopIfTrue="1">
      <formula>WEEKDAY(AI$3,2)=7</formula>
    </cfRule>
  </conditionalFormatting>
  <conditionalFormatting sqref="AI7:AI12">
    <cfRule type="expression" dxfId="54" priority="49" stopIfTrue="1">
      <formula>WEEKDAY(AI$3,2)=6</formula>
    </cfRule>
    <cfRule type="expression" dxfId="53" priority="50" stopIfTrue="1">
      <formula>WEEKDAY(AI$3,2)=7</formula>
    </cfRule>
  </conditionalFormatting>
  <printOptions horizontalCentered="1" verticalCentered="1"/>
  <pageMargins left="0.19685039370078741" right="0.19685039370078741" top="0.39370078740157483" bottom="0.19685039370078741" header="0.31496062992125984" footer="0.19685039370078741"/>
  <pageSetup paperSize="9" scale="53" orientation="landscape"/>
  <headerFooter>
    <oddHeader>&amp;C&amp;12Monatsabrechnung   &amp;A</oddHead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pageSetUpPr fitToPage="1"/>
  </sheetPr>
  <dimension ref="A1:AT106"/>
  <sheetViews>
    <sheetView showGridLines="0" showRowColHeaders="0" showZeros="0" showOutlineSymbols="0" topLeftCell="C2" zoomScale="80" zoomScaleNormal="80" workbookViewId="0">
      <pane xSplit="2" ySplit="39" topLeftCell="E41" activePane="bottomRight" state="frozen"/>
      <selection pane="topRight"/>
      <selection pane="bottomLeft"/>
      <selection pane="bottomRight" activeCell="E7" sqref="E7"/>
    </sheetView>
  </sheetViews>
  <sheetFormatPr baseColWidth="10" defaultColWidth="11.42578125" defaultRowHeight="12.75" outlineLevelRow="2" outlineLevelCol="1" x14ac:dyDescent="0.2"/>
  <cols>
    <col min="1" max="1" width="11.42578125" style="8" hidden="1" customWidth="1" outlineLevel="1"/>
    <col min="2" max="2" width="8.42578125" style="13" hidden="1" customWidth="1" outlineLevel="1"/>
    <col min="3" max="3" width="22.42578125" style="87" customWidth="1" collapsed="1"/>
    <col min="4" max="4" width="7.85546875" style="13" customWidth="1"/>
    <col min="5" max="35" width="7.42578125" style="13" customWidth="1"/>
    <col min="36" max="36" width="7.42578125" style="209" customWidth="1"/>
    <col min="37" max="37" width="7.7109375" style="13" hidden="1" customWidth="1" outlineLevel="1"/>
    <col min="38" max="38" width="15.7109375" style="182" hidden="1" customWidth="1" outlineLevel="1"/>
    <col min="39" max="40" width="0" style="8" hidden="1" customWidth="1" outlineLevel="1"/>
    <col min="41" max="41" width="26.7109375" style="8" hidden="1" customWidth="1" outlineLevel="1"/>
    <col min="42" max="44" width="0" style="8" hidden="1" customWidth="1" outlineLevel="1"/>
    <col min="45" max="45" width="11.42578125" style="8" collapsed="1"/>
    <col min="46" max="16384" width="11.42578125" style="8"/>
  </cols>
  <sheetData>
    <row r="1" spans="2:46" ht="30" hidden="1" customHeight="1" outlineLevel="1" thickBot="1" x14ac:dyDescent="0.25">
      <c r="AF1" s="8"/>
      <c r="AJ1" s="88"/>
      <c r="AK1" s="89"/>
      <c r="AL1" s="90" t="s">
        <v>406</v>
      </c>
      <c r="AM1" s="91" t="s">
        <v>407</v>
      </c>
      <c r="AN1" s="89"/>
      <c r="AO1" s="89"/>
      <c r="AP1" s="89"/>
      <c r="AQ1" s="89"/>
      <c r="AR1" s="89"/>
    </row>
    <row r="2" spans="2:46" ht="30" customHeight="1" collapsed="1" thickBot="1" x14ac:dyDescent="0.25">
      <c r="C2" s="92">
        <f>DATEVALUE("1.11."&amp;YEAR(ctPersonalangaben!H12))</f>
        <v>44865</v>
      </c>
      <c r="D2" s="93">
        <f>YEAR(ctPersonalangaben!H12)</f>
        <v>2026</v>
      </c>
      <c r="E2" s="99" t="str">
        <f>CONCATENATE("Arbeitszeit-Eingabe von ",Mitarbeiter)</f>
        <v>Arbeitszeit-Eingabe von Max Muster, Musterstelle</v>
      </c>
      <c r="F2" s="6"/>
      <c r="G2" s="6"/>
      <c r="H2" s="6"/>
      <c r="I2" s="94"/>
      <c r="J2" s="6"/>
      <c r="K2" s="6"/>
      <c r="L2" s="6"/>
      <c r="M2" s="6"/>
      <c r="N2" s="6"/>
      <c r="O2" s="6"/>
      <c r="P2" s="6"/>
      <c r="Q2" s="6"/>
      <c r="R2" s="6"/>
      <c r="S2" s="95"/>
      <c r="T2" s="96"/>
      <c r="U2" s="96"/>
      <c r="V2" s="97"/>
      <c r="W2" s="97"/>
      <c r="X2" s="97"/>
      <c r="Y2" s="97"/>
      <c r="Z2" s="97"/>
      <c r="AA2" s="97"/>
      <c r="AB2" s="97"/>
      <c r="AC2" s="97"/>
      <c r="AD2" s="98"/>
      <c r="AE2" s="97"/>
      <c r="AF2" s="99"/>
      <c r="AG2" s="100" t="s">
        <v>408</v>
      </c>
      <c r="AH2" s="99">
        <f>VLOOKUP(DATE($D$2,MONTH($C$2),$E$4),Ferienanspruch,3,TRUE)</f>
        <v>100</v>
      </c>
      <c r="AI2" s="101" t="s">
        <v>106</v>
      </c>
      <c r="AJ2" s="88"/>
      <c r="AK2" s="102"/>
      <c r="AL2" s="91"/>
      <c r="AM2" s="91" t="s">
        <v>409</v>
      </c>
      <c r="AN2" s="89"/>
      <c r="AO2" s="89"/>
      <c r="AP2" s="89"/>
      <c r="AQ2" s="89"/>
      <c r="AR2" s="89"/>
    </row>
    <row r="3" spans="2:46" x14ac:dyDescent="0.2">
      <c r="C3" s="7"/>
      <c r="D3" s="1254" t="s">
        <v>254</v>
      </c>
      <c r="E3" s="226">
        <f t="shared" ref="E3:AF3" si="0">DATE($D$2,MONTH($C$2),E$4)</f>
        <v>44865</v>
      </c>
      <c r="F3" s="103">
        <f t="shared" si="0"/>
        <v>44866</v>
      </c>
      <c r="G3" s="103">
        <f t="shared" si="0"/>
        <v>44867</v>
      </c>
      <c r="H3" s="103">
        <f t="shared" si="0"/>
        <v>44868</v>
      </c>
      <c r="I3" s="226">
        <f t="shared" si="0"/>
        <v>44869</v>
      </c>
      <c r="J3" s="103">
        <f t="shared" si="0"/>
        <v>44870</v>
      </c>
      <c r="K3" s="103">
        <f t="shared" si="0"/>
        <v>44871</v>
      </c>
      <c r="L3" s="103">
        <f t="shared" si="0"/>
        <v>44872</v>
      </c>
      <c r="M3" s="103">
        <f t="shared" si="0"/>
        <v>44873</v>
      </c>
      <c r="N3" s="103">
        <f t="shared" si="0"/>
        <v>44874</v>
      </c>
      <c r="O3" s="103">
        <f t="shared" si="0"/>
        <v>44875</v>
      </c>
      <c r="P3" s="103">
        <f t="shared" si="0"/>
        <v>44876</v>
      </c>
      <c r="Q3" s="103">
        <f t="shared" si="0"/>
        <v>44877</v>
      </c>
      <c r="R3" s="103">
        <f t="shared" si="0"/>
        <v>44878</v>
      </c>
      <c r="S3" s="103">
        <f t="shared" si="0"/>
        <v>44879</v>
      </c>
      <c r="T3" s="103">
        <f t="shared" si="0"/>
        <v>44880</v>
      </c>
      <c r="U3" s="103">
        <f t="shared" si="0"/>
        <v>44881</v>
      </c>
      <c r="V3" s="103">
        <f t="shared" si="0"/>
        <v>44882</v>
      </c>
      <c r="W3" s="103">
        <f t="shared" si="0"/>
        <v>44883</v>
      </c>
      <c r="X3" s="103">
        <f t="shared" si="0"/>
        <v>44884</v>
      </c>
      <c r="Y3" s="103">
        <f t="shared" si="0"/>
        <v>44885</v>
      </c>
      <c r="Z3" s="103">
        <f t="shared" si="0"/>
        <v>44886</v>
      </c>
      <c r="AA3" s="103">
        <f t="shared" si="0"/>
        <v>44887</v>
      </c>
      <c r="AB3" s="103">
        <f t="shared" si="0"/>
        <v>44888</v>
      </c>
      <c r="AC3" s="103">
        <f t="shared" si="0"/>
        <v>44889</v>
      </c>
      <c r="AD3" s="104">
        <f t="shared" si="0"/>
        <v>44890</v>
      </c>
      <c r="AE3" s="104">
        <f t="shared" si="0"/>
        <v>44891</v>
      </c>
      <c r="AF3" s="104">
        <f t="shared" si="0"/>
        <v>44892</v>
      </c>
      <c r="AG3" s="104">
        <f>IF(MONTH($C2+AG$5) = MONTH($C2),DATE($D$2,MONTH($C$2),AG$5+1),"")</f>
        <v>44893</v>
      </c>
      <c r="AH3" s="104">
        <f>IF(MONTH($C2+AH$5) = MONTH($C2),DATE($D$2,MONTH($C$2),AH$5+1),"")</f>
        <v>44894</v>
      </c>
      <c r="AI3" s="105" t="str">
        <f>IF(MONTH($C2+AI$5) = MONTH($C2),DATE($D$2,MONTH($C$2),AI$5+1),"")</f>
        <v/>
      </c>
      <c r="AJ3" s="88"/>
      <c r="AK3" s="106"/>
      <c r="AL3" s="91"/>
      <c r="AM3" s="91"/>
      <c r="AN3" s="89"/>
      <c r="AO3" s="89"/>
      <c r="AP3" s="89"/>
      <c r="AQ3" s="89"/>
      <c r="AR3" s="89"/>
    </row>
    <row r="4" spans="2:46" ht="19.5" customHeight="1" x14ac:dyDescent="0.2">
      <c r="C4" s="13"/>
      <c r="D4" s="1255"/>
      <c r="E4" s="227">
        <v>1</v>
      </c>
      <c r="F4" s="107">
        <v>2</v>
      </c>
      <c r="G4" s="107">
        <v>3</v>
      </c>
      <c r="H4" s="107">
        <v>4</v>
      </c>
      <c r="I4" s="227">
        <v>5</v>
      </c>
      <c r="J4" s="107">
        <v>6</v>
      </c>
      <c r="K4" s="107">
        <v>7</v>
      </c>
      <c r="L4" s="107">
        <v>8</v>
      </c>
      <c r="M4" s="107">
        <v>9</v>
      </c>
      <c r="N4" s="107">
        <v>10</v>
      </c>
      <c r="O4" s="107">
        <v>11</v>
      </c>
      <c r="P4" s="107">
        <v>12</v>
      </c>
      <c r="Q4" s="107">
        <v>13</v>
      </c>
      <c r="R4" s="107">
        <v>14</v>
      </c>
      <c r="S4" s="107">
        <v>15</v>
      </c>
      <c r="T4" s="107">
        <v>16</v>
      </c>
      <c r="U4" s="107">
        <v>17</v>
      </c>
      <c r="V4" s="107">
        <v>18</v>
      </c>
      <c r="W4" s="107">
        <v>19</v>
      </c>
      <c r="X4" s="107">
        <v>20</v>
      </c>
      <c r="Y4" s="107">
        <v>21</v>
      </c>
      <c r="Z4" s="107">
        <v>22</v>
      </c>
      <c r="AA4" s="107">
        <v>23</v>
      </c>
      <c r="AB4" s="107">
        <v>24</v>
      </c>
      <c r="AC4" s="107">
        <v>25</v>
      </c>
      <c r="AD4" s="107">
        <v>26</v>
      </c>
      <c r="AE4" s="107">
        <v>27</v>
      </c>
      <c r="AF4" s="107">
        <v>28</v>
      </c>
      <c r="AG4" s="107">
        <f>IF(MONTH($C2+AG5) = MONTH($C2),AG$5+1,0)</f>
        <v>29</v>
      </c>
      <c r="AH4" s="107">
        <f>IF(MONTH($C2+AH5) = MONTH($C2),AH$5+1,0)</f>
        <v>30</v>
      </c>
      <c r="AI4" s="108">
        <f>IF(MONTH($C2+AI5) = MONTH($C2),AI$5+1,0)</f>
        <v>0</v>
      </c>
      <c r="AJ4" s="88"/>
      <c r="AK4" s="106"/>
      <c r="AL4" s="91"/>
      <c r="AM4" s="91"/>
      <c r="AN4" s="89"/>
      <c r="AO4" s="89"/>
      <c r="AP4" s="89"/>
      <c r="AQ4" s="89"/>
      <c r="AR4" s="89"/>
    </row>
    <row r="5" spans="2:46" ht="19.5" hidden="1" customHeight="1" outlineLevel="1" x14ac:dyDescent="0.2">
      <c r="C5" s="13"/>
      <c r="D5" s="109"/>
      <c r="E5" s="110"/>
      <c r="F5" s="110">
        <v>1</v>
      </c>
      <c r="G5" s="110">
        <v>2</v>
      </c>
      <c r="H5" s="228">
        <v>3</v>
      </c>
      <c r="I5" s="110">
        <v>4</v>
      </c>
      <c r="J5" s="110">
        <v>5</v>
      </c>
      <c r="K5" s="110">
        <v>6</v>
      </c>
      <c r="L5" s="110">
        <v>7</v>
      </c>
      <c r="M5" s="110">
        <v>8</v>
      </c>
      <c r="N5" s="110">
        <v>9</v>
      </c>
      <c r="O5" s="110">
        <v>10</v>
      </c>
      <c r="P5" s="110">
        <v>11</v>
      </c>
      <c r="Q5" s="110">
        <v>12</v>
      </c>
      <c r="R5" s="110">
        <v>13</v>
      </c>
      <c r="S5" s="110">
        <v>14</v>
      </c>
      <c r="T5" s="110">
        <v>15</v>
      </c>
      <c r="U5" s="110">
        <v>16</v>
      </c>
      <c r="V5" s="110">
        <v>17</v>
      </c>
      <c r="W5" s="110">
        <v>18</v>
      </c>
      <c r="X5" s="110">
        <v>19</v>
      </c>
      <c r="Y5" s="110">
        <v>20</v>
      </c>
      <c r="Z5" s="110">
        <v>21</v>
      </c>
      <c r="AA5" s="110">
        <v>22</v>
      </c>
      <c r="AB5" s="110">
        <v>23</v>
      </c>
      <c r="AC5" s="110">
        <v>24</v>
      </c>
      <c r="AD5" s="110">
        <v>25</v>
      </c>
      <c r="AE5" s="110">
        <v>26</v>
      </c>
      <c r="AF5" s="110">
        <v>27</v>
      </c>
      <c r="AG5" s="110">
        <v>28</v>
      </c>
      <c r="AH5" s="110">
        <v>29</v>
      </c>
      <c r="AI5" s="111">
        <v>30</v>
      </c>
      <c r="AJ5" s="88"/>
      <c r="AK5" s="102"/>
      <c r="AL5" s="91"/>
      <c r="AM5" s="91"/>
      <c r="AN5" s="89"/>
      <c r="AO5" s="89"/>
      <c r="AP5" s="89"/>
      <c r="AQ5" s="89"/>
      <c r="AR5" s="89"/>
    </row>
    <row r="6" spans="2:46" ht="19.5" hidden="1" customHeight="1" outlineLevel="1" x14ac:dyDescent="0.2">
      <c r="C6" s="13"/>
      <c r="D6" s="109"/>
      <c r="E6" s="288">
        <f>WEEKDAY(E$3,2)</f>
        <v>7</v>
      </c>
      <c r="F6" s="288">
        <f t="shared" ref="F6:AF6" si="1">WEEKDAY(F$3,2)</f>
        <v>1</v>
      </c>
      <c r="G6" s="288">
        <f t="shared" si="1"/>
        <v>2</v>
      </c>
      <c r="H6" s="898">
        <f t="shared" si="1"/>
        <v>3</v>
      </c>
      <c r="I6" s="288">
        <f t="shared" si="1"/>
        <v>4</v>
      </c>
      <c r="J6" s="288">
        <f t="shared" si="1"/>
        <v>5</v>
      </c>
      <c r="K6" s="288">
        <f t="shared" si="1"/>
        <v>6</v>
      </c>
      <c r="L6" s="288">
        <f t="shared" si="1"/>
        <v>7</v>
      </c>
      <c r="M6" s="288">
        <f t="shared" si="1"/>
        <v>1</v>
      </c>
      <c r="N6" s="288">
        <f t="shared" si="1"/>
        <v>2</v>
      </c>
      <c r="O6" s="288">
        <f t="shared" si="1"/>
        <v>3</v>
      </c>
      <c r="P6" s="288">
        <f t="shared" si="1"/>
        <v>4</v>
      </c>
      <c r="Q6" s="288">
        <f t="shared" si="1"/>
        <v>5</v>
      </c>
      <c r="R6" s="288">
        <f t="shared" si="1"/>
        <v>6</v>
      </c>
      <c r="S6" s="288">
        <f t="shared" si="1"/>
        <v>7</v>
      </c>
      <c r="T6" s="288">
        <f t="shared" si="1"/>
        <v>1</v>
      </c>
      <c r="U6" s="288">
        <f t="shared" si="1"/>
        <v>2</v>
      </c>
      <c r="V6" s="288">
        <f t="shared" si="1"/>
        <v>3</v>
      </c>
      <c r="W6" s="288">
        <f t="shared" si="1"/>
        <v>4</v>
      </c>
      <c r="X6" s="288">
        <f t="shared" si="1"/>
        <v>5</v>
      </c>
      <c r="Y6" s="288">
        <f t="shared" si="1"/>
        <v>6</v>
      </c>
      <c r="Z6" s="288">
        <f t="shared" si="1"/>
        <v>7</v>
      </c>
      <c r="AA6" s="288">
        <f t="shared" si="1"/>
        <v>1</v>
      </c>
      <c r="AB6" s="288">
        <f t="shared" si="1"/>
        <v>2</v>
      </c>
      <c r="AC6" s="288">
        <f t="shared" si="1"/>
        <v>3</v>
      </c>
      <c r="AD6" s="288">
        <f t="shared" si="1"/>
        <v>4</v>
      </c>
      <c r="AE6" s="288">
        <f t="shared" si="1"/>
        <v>5</v>
      </c>
      <c r="AF6" s="288">
        <f t="shared" si="1"/>
        <v>6</v>
      </c>
      <c r="AG6" s="288">
        <f>IF(AG3&lt;&gt;"",WEEKDAY(AG$3,2),"")</f>
        <v>7</v>
      </c>
      <c r="AH6" s="288"/>
      <c r="AI6" s="899"/>
      <c r="AJ6" s="88"/>
      <c r="AK6" s="102"/>
      <c r="AL6" s="91"/>
      <c r="AM6" s="91"/>
      <c r="AN6" s="89"/>
      <c r="AO6" s="89"/>
      <c r="AP6" s="89"/>
      <c r="AQ6" s="89"/>
      <c r="AR6" s="89"/>
    </row>
    <row r="7" spans="2:46" ht="22.5" customHeight="1" collapsed="1" x14ac:dyDescent="0.2">
      <c r="C7" s="8"/>
      <c r="D7" s="112" t="str">
        <f>Januar!D7</f>
        <v>Beginn</v>
      </c>
      <c r="E7" s="1042">
        <v>0</v>
      </c>
      <c r="F7" s="1042">
        <v>0</v>
      </c>
      <c r="G7" s="1042">
        <v>0</v>
      </c>
      <c r="H7" s="1042">
        <v>0</v>
      </c>
      <c r="I7" s="1042">
        <v>0</v>
      </c>
      <c r="J7" s="1042">
        <v>0</v>
      </c>
      <c r="K7" s="1042">
        <v>0</v>
      </c>
      <c r="L7" s="1042">
        <v>0</v>
      </c>
      <c r="M7" s="1042">
        <v>0</v>
      </c>
      <c r="N7" s="1042">
        <v>0</v>
      </c>
      <c r="O7" s="1042">
        <v>0</v>
      </c>
      <c r="P7" s="1042">
        <v>0</v>
      </c>
      <c r="Q7" s="1042">
        <v>0</v>
      </c>
      <c r="R7" s="1042">
        <v>0</v>
      </c>
      <c r="S7" s="1042">
        <v>0</v>
      </c>
      <c r="T7" s="1042">
        <v>0</v>
      </c>
      <c r="U7" s="1042">
        <v>0</v>
      </c>
      <c r="V7" s="1042">
        <v>0</v>
      </c>
      <c r="W7" s="1042">
        <v>0</v>
      </c>
      <c r="X7" s="1042">
        <v>0</v>
      </c>
      <c r="Y7" s="1042">
        <v>0</v>
      </c>
      <c r="Z7" s="1042">
        <v>0</v>
      </c>
      <c r="AA7" s="1042">
        <v>0</v>
      </c>
      <c r="AB7" s="1042">
        <v>0</v>
      </c>
      <c r="AC7" s="1042">
        <v>0</v>
      </c>
      <c r="AD7" s="1042">
        <v>0</v>
      </c>
      <c r="AE7" s="1042">
        <v>0</v>
      </c>
      <c r="AF7" s="1042">
        <v>0</v>
      </c>
      <c r="AG7" s="1042">
        <v>0</v>
      </c>
      <c r="AH7" s="1042">
        <v>0</v>
      </c>
      <c r="AI7" s="1043"/>
      <c r="AJ7" s="88"/>
      <c r="AK7" s="900"/>
      <c r="AL7" s="91"/>
      <c r="AM7" s="91"/>
      <c r="AN7" s="113"/>
      <c r="AO7" s="89"/>
      <c r="AP7" s="89"/>
      <c r="AQ7" s="89"/>
      <c r="AR7" s="89"/>
    </row>
    <row r="8" spans="2:46" ht="22.5" customHeight="1" x14ac:dyDescent="0.2">
      <c r="C8" s="901"/>
      <c r="D8" s="112" t="str">
        <f>Januar!D8</f>
        <v>Ende</v>
      </c>
      <c r="E8" s="235"/>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4"/>
      <c r="AJ8" s="88"/>
      <c r="AK8" s="900"/>
      <c r="AL8" s="91"/>
      <c r="AM8" s="91"/>
      <c r="AN8" s="89"/>
      <c r="AO8" s="89"/>
      <c r="AP8" s="89"/>
      <c r="AQ8" s="89"/>
      <c r="AR8" s="89"/>
    </row>
    <row r="9" spans="2:46" ht="22.5" customHeight="1" x14ac:dyDescent="0.2">
      <c r="C9" s="8"/>
      <c r="D9" s="112" t="str">
        <f>Januar!D9</f>
        <v>Beginn</v>
      </c>
      <c r="E9" s="1041"/>
      <c r="F9" s="1042"/>
      <c r="G9" s="1042"/>
      <c r="H9" s="1042"/>
      <c r="I9" s="1042"/>
      <c r="J9" s="1042"/>
      <c r="K9" s="1042"/>
      <c r="L9" s="1042"/>
      <c r="M9" s="1042"/>
      <c r="N9" s="1042"/>
      <c r="O9" s="1042"/>
      <c r="P9" s="1042"/>
      <c r="Q9" s="1042"/>
      <c r="R9" s="1042"/>
      <c r="S9" s="1042"/>
      <c r="T9" s="1042"/>
      <c r="U9" s="1042"/>
      <c r="V9" s="1042"/>
      <c r="W9" s="1042"/>
      <c r="X9" s="1042"/>
      <c r="Y9" s="1042"/>
      <c r="Z9" s="1042"/>
      <c r="AA9" s="1042"/>
      <c r="AB9" s="1042"/>
      <c r="AC9" s="1042"/>
      <c r="AD9" s="1042"/>
      <c r="AE9" s="1042"/>
      <c r="AF9" s="1042"/>
      <c r="AG9" s="1042"/>
      <c r="AH9" s="1042"/>
      <c r="AI9" s="1043"/>
      <c r="AJ9" s="88"/>
      <c r="AK9" s="900"/>
      <c r="AL9" s="91"/>
      <c r="AM9" s="91"/>
      <c r="AN9" s="89"/>
      <c r="AO9" s="89"/>
      <c r="AP9" s="89"/>
      <c r="AQ9" s="89"/>
      <c r="AR9" s="89"/>
    </row>
    <row r="10" spans="2:46" ht="22.5" customHeight="1" x14ac:dyDescent="0.2">
      <c r="C10" s="901"/>
      <c r="D10" s="112" t="str">
        <f>Januar!D10</f>
        <v>Ende</v>
      </c>
      <c r="E10" s="235"/>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4"/>
      <c r="AJ10" s="88"/>
      <c r="AK10" s="900"/>
      <c r="AL10" s="900"/>
      <c r="AM10" s="114"/>
      <c r="AN10" s="114"/>
      <c r="AO10" s="114"/>
      <c r="AP10" s="89"/>
      <c r="AQ10" s="89"/>
      <c r="AR10" s="89"/>
    </row>
    <row r="11" spans="2:46" ht="22.5" customHeight="1" x14ac:dyDescent="0.2">
      <c r="C11" s="8"/>
      <c r="D11" s="112" t="str">
        <f>Januar!D11</f>
        <v>Beginn</v>
      </c>
      <c r="E11" s="1041"/>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3"/>
      <c r="AJ11" s="88"/>
      <c r="AK11" s="115"/>
      <c r="AL11" s="89"/>
      <c r="AM11" s="89"/>
      <c r="AN11" s="89"/>
      <c r="AO11" s="89"/>
      <c r="AP11" s="89"/>
      <c r="AQ11" s="89"/>
      <c r="AR11" s="89"/>
    </row>
    <row r="12" spans="2:46" ht="22.5" customHeight="1" x14ac:dyDescent="0.2">
      <c r="C12" s="116"/>
      <c r="D12" s="112" t="str">
        <f>Januar!D12</f>
        <v>Ende</v>
      </c>
      <c r="E12" s="235"/>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4"/>
      <c r="AJ12" s="88"/>
      <c r="AK12" s="902"/>
      <c r="AL12" s="91" t="s">
        <v>411</v>
      </c>
      <c r="AM12" s="91"/>
      <c r="AN12" s="113"/>
      <c r="AO12" s="89"/>
      <c r="AP12" s="89"/>
      <c r="AQ12" s="89"/>
      <c r="AR12" s="89"/>
    </row>
    <row r="13" spans="2:46" s="123" customFormat="1" x14ac:dyDescent="0.2">
      <c r="B13" s="117"/>
      <c r="C13" s="118" t="str">
        <f>Januar!C13</f>
        <v>Effektive Arbeitszeit</v>
      </c>
      <c r="D13" s="119"/>
      <c r="E13" s="1044">
        <f>IF(COUNT(E7:E12)&gt;0,E12-E11+E10-E9+E8-E7,E39)</f>
        <v>0</v>
      </c>
      <c r="F13" s="1045">
        <f t="shared" ref="F13:AI13" si="2">IF(COUNT(F7:F12)&gt;0,F12-F11+F10-F9+F8-F7,F39)</f>
        <v>0</v>
      </c>
      <c r="G13" s="1045">
        <f t="shared" si="2"/>
        <v>0</v>
      </c>
      <c r="H13" s="1045">
        <f t="shared" si="2"/>
        <v>0</v>
      </c>
      <c r="I13" s="1045">
        <f t="shared" si="2"/>
        <v>0</v>
      </c>
      <c r="J13" s="1045">
        <f t="shared" si="2"/>
        <v>0</v>
      </c>
      <c r="K13" s="1045">
        <f t="shared" si="2"/>
        <v>0</v>
      </c>
      <c r="L13" s="1045">
        <f t="shared" si="2"/>
        <v>0</v>
      </c>
      <c r="M13" s="1045">
        <f t="shared" si="2"/>
        <v>0</v>
      </c>
      <c r="N13" s="1045">
        <f t="shared" si="2"/>
        <v>0</v>
      </c>
      <c r="O13" s="1045">
        <f t="shared" si="2"/>
        <v>0</v>
      </c>
      <c r="P13" s="1045">
        <f t="shared" si="2"/>
        <v>0</v>
      </c>
      <c r="Q13" s="1045">
        <f t="shared" si="2"/>
        <v>0</v>
      </c>
      <c r="R13" s="1045">
        <f t="shared" si="2"/>
        <v>0</v>
      </c>
      <c r="S13" s="1045">
        <f t="shared" si="2"/>
        <v>0</v>
      </c>
      <c r="T13" s="1045">
        <f t="shared" si="2"/>
        <v>0</v>
      </c>
      <c r="U13" s="1045">
        <f t="shared" si="2"/>
        <v>0</v>
      </c>
      <c r="V13" s="1045">
        <f t="shared" si="2"/>
        <v>0</v>
      </c>
      <c r="W13" s="1045">
        <f t="shared" si="2"/>
        <v>0</v>
      </c>
      <c r="X13" s="1045">
        <f t="shared" si="2"/>
        <v>0</v>
      </c>
      <c r="Y13" s="1045">
        <f t="shared" si="2"/>
        <v>0</v>
      </c>
      <c r="Z13" s="1045">
        <f t="shared" si="2"/>
        <v>0</v>
      </c>
      <c r="AA13" s="1045">
        <f t="shared" si="2"/>
        <v>0</v>
      </c>
      <c r="AB13" s="1045">
        <f t="shared" si="2"/>
        <v>0</v>
      </c>
      <c r="AC13" s="1045">
        <f t="shared" si="2"/>
        <v>0</v>
      </c>
      <c r="AD13" s="1045">
        <f t="shared" si="2"/>
        <v>0</v>
      </c>
      <c r="AE13" s="1045">
        <f t="shared" si="2"/>
        <v>0</v>
      </c>
      <c r="AF13" s="1045">
        <f t="shared" si="2"/>
        <v>0</v>
      </c>
      <c r="AG13" s="1045">
        <f t="shared" si="2"/>
        <v>0</v>
      </c>
      <c r="AH13" s="1045">
        <f t="shared" si="2"/>
        <v>0</v>
      </c>
      <c r="AI13" s="1046">
        <f t="shared" si="2"/>
        <v>0</v>
      </c>
      <c r="AJ13" s="1047">
        <f t="shared" ref="AJ13:AJ18" si="3">SUM(E13:AI13)</f>
        <v>0</v>
      </c>
      <c r="AK13" s="120"/>
      <c r="AL13" s="121" t="s">
        <v>413</v>
      </c>
      <c r="AM13" s="121"/>
      <c r="AN13" s="122"/>
      <c r="AS13" s="124"/>
    </row>
    <row r="14" spans="2:46" s="129" customFormat="1" x14ac:dyDescent="0.2">
      <c r="B14" s="117"/>
      <c r="C14" s="118" t="str">
        <f>Januar!C14</f>
        <v>inkl. Basiszeit / Feiertage</v>
      </c>
      <c r="D14" s="125"/>
      <c r="E14" s="126">
        <f>ROUND(SUM(E13,E15,E21,E22,E24:E38),8)</f>
        <v>0</v>
      </c>
      <c r="F14" s="127">
        <f>ROUND(SUM(F13,F15,F21,F22,F24:F38),8)</f>
        <v>0</v>
      </c>
      <c r="G14" s="127">
        <f t="shared" ref="G14:AI14" si="4">ROUND(SUM(G13,G15,G21,G22,G24:G38),8)</f>
        <v>0</v>
      </c>
      <c r="H14" s="127">
        <f t="shared" si="4"/>
        <v>0</v>
      </c>
      <c r="I14" s="127">
        <f t="shared" si="4"/>
        <v>0</v>
      </c>
      <c r="J14" s="127">
        <f t="shared" si="4"/>
        <v>0</v>
      </c>
      <c r="K14" s="127">
        <f t="shared" si="4"/>
        <v>0</v>
      </c>
      <c r="L14" s="127">
        <f t="shared" si="4"/>
        <v>0</v>
      </c>
      <c r="M14" s="127">
        <f t="shared" si="4"/>
        <v>0</v>
      </c>
      <c r="N14" s="127">
        <f t="shared" si="4"/>
        <v>0</v>
      </c>
      <c r="O14" s="127">
        <f t="shared" si="4"/>
        <v>0</v>
      </c>
      <c r="P14" s="127">
        <f t="shared" si="4"/>
        <v>0</v>
      </c>
      <c r="Q14" s="127">
        <f t="shared" si="4"/>
        <v>0</v>
      </c>
      <c r="R14" s="127">
        <f t="shared" si="4"/>
        <v>0</v>
      </c>
      <c r="S14" s="127">
        <f t="shared" si="4"/>
        <v>0</v>
      </c>
      <c r="T14" s="127">
        <f t="shared" si="4"/>
        <v>0</v>
      </c>
      <c r="U14" s="127">
        <f t="shared" si="4"/>
        <v>0</v>
      </c>
      <c r="V14" s="127">
        <f t="shared" si="4"/>
        <v>0</v>
      </c>
      <c r="W14" s="127">
        <f t="shared" si="4"/>
        <v>0</v>
      </c>
      <c r="X14" s="127">
        <f t="shared" si="4"/>
        <v>0</v>
      </c>
      <c r="Y14" s="127">
        <f t="shared" si="4"/>
        <v>0</v>
      </c>
      <c r="Z14" s="127">
        <f t="shared" si="4"/>
        <v>0</v>
      </c>
      <c r="AA14" s="127">
        <f t="shared" si="4"/>
        <v>0</v>
      </c>
      <c r="AB14" s="127">
        <f t="shared" si="4"/>
        <v>0</v>
      </c>
      <c r="AC14" s="127">
        <f t="shared" si="4"/>
        <v>0</v>
      </c>
      <c r="AD14" s="127">
        <f t="shared" si="4"/>
        <v>0</v>
      </c>
      <c r="AE14" s="127">
        <f t="shared" si="4"/>
        <v>0</v>
      </c>
      <c r="AF14" s="127">
        <f t="shared" si="4"/>
        <v>0</v>
      </c>
      <c r="AG14" s="127">
        <f t="shared" si="4"/>
        <v>0</v>
      </c>
      <c r="AH14" s="127">
        <f t="shared" si="4"/>
        <v>0</v>
      </c>
      <c r="AI14" s="127">
        <f t="shared" si="4"/>
        <v>0</v>
      </c>
      <c r="AJ14" s="128">
        <f t="shared" si="3"/>
        <v>0</v>
      </c>
      <c r="AK14" s="1048">
        <f>AJ14-AJ16-IF(Eingabeblatt!D7="NEIN",AJ85,AJ85/1.25)</f>
        <v>-7.349999999999997</v>
      </c>
      <c r="AL14" s="117" t="s">
        <v>415</v>
      </c>
      <c r="AM14" s="121"/>
      <c r="AN14" s="122"/>
      <c r="AT14" s="123"/>
    </row>
    <row r="15" spans="2:46" s="129" customFormat="1" x14ac:dyDescent="0.2">
      <c r="B15" s="117">
        <f>ctFeierFreitage!K28</f>
        <v>3.3166666666666669</v>
      </c>
      <c r="C15" s="118" t="str">
        <f>Januar!C15</f>
        <v>Feiertagsanspruch</v>
      </c>
      <c r="D15" s="125"/>
      <c r="E15" s="126">
        <f t="shared" ref="E15:AI15" si="5">IF(ISERROR(VLOOKUP(DATE($D$2,MONTH($C$2),E$4),Feiertagsanspruch,9,FALSE)),0,VLOOKUP(DATE($D$2,MONTH($C$2),E$4),Feiertagsanspruch,9,FALSE))</f>
        <v>0</v>
      </c>
      <c r="F15" s="127">
        <f t="shared" si="5"/>
        <v>0</v>
      </c>
      <c r="G15" s="127">
        <f t="shared" si="5"/>
        <v>0</v>
      </c>
      <c r="H15" s="127">
        <f t="shared" si="5"/>
        <v>0</v>
      </c>
      <c r="I15" s="127">
        <f t="shared" si="5"/>
        <v>0</v>
      </c>
      <c r="J15" s="127">
        <f t="shared" si="5"/>
        <v>0</v>
      </c>
      <c r="K15" s="127">
        <f t="shared" si="5"/>
        <v>0</v>
      </c>
      <c r="L15" s="127">
        <f t="shared" si="5"/>
        <v>0</v>
      </c>
      <c r="M15" s="127">
        <f t="shared" si="5"/>
        <v>0</v>
      </c>
      <c r="N15" s="127">
        <f t="shared" si="5"/>
        <v>0</v>
      </c>
      <c r="O15" s="127">
        <f t="shared" si="5"/>
        <v>0</v>
      </c>
      <c r="P15" s="127">
        <f t="shared" si="5"/>
        <v>0</v>
      </c>
      <c r="Q15" s="127">
        <f t="shared" si="5"/>
        <v>0</v>
      </c>
      <c r="R15" s="127">
        <f t="shared" si="5"/>
        <v>0</v>
      </c>
      <c r="S15" s="127">
        <f t="shared" si="5"/>
        <v>0</v>
      </c>
      <c r="T15" s="127">
        <f t="shared" si="5"/>
        <v>0</v>
      </c>
      <c r="U15" s="127">
        <f t="shared" si="5"/>
        <v>0</v>
      </c>
      <c r="V15" s="127">
        <f t="shared" si="5"/>
        <v>0</v>
      </c>
      <c r="W15" s="127">
        <f t="shared" si="5"/>
        <v>0</v>
      </c>
      <c r="X15" s="127">
        <f t="shared" si="5"/>
        <v>0</v>
      </c>
      <c r="Y15" s="127">
        <f t="shared" si="5"/>
        <v>0</v>
      </c>
      <c r="Z15" s="127">
        <f t="shared" si="5"/>
        <v>0</v>
      </c>
      <c r="AA15" s="127">
        <f t="shared" si="5"/>
        <v>0</v>
      </c>
      <c r="AB15" s="127">
        <f t="shared" si="5"/>
        <v>0</v>
      </c>
      <c r="AC15" s="127">
        <f t="shared" si="5"/>
        <v>0</v>
      </c>
      <c r="AD15" s="127">
        <f t="shared" si="5"/>
        <v>0</v>
      </c>
      <c r="AE15" s="127">
        <f t="shared" si="5"/>
        <v>0</v>
      </c>
      <c r="AF15" s="127">
        <f t="shared" si="5"/>
        <v>0</v>
      </c>
      <c r="AG15" s="127">
        <f t="shared" si="5"/>
        <v>0</v>
      </c>
      <c r="AH15" s="127">
        <f t="shared" si="5"/>
        <v>0</v>
      </c>
      <c r="AI15" s="127">
        <f t="shared" si="5"/>
        <v>0</v>
      </c>
      <c r="AJ15" s="128">
        <f t="shared" si="3"/>
        <v>0</v>
      </c>
      <c r="AK15" s="1048"/>
      <c r="AL15" s="117"/>
      <c r="AM15" s="121"/>
      <c r="AN15" s="122"/>
      <c r="AT15" s="123"/>
    </row>
    <row r="16" spans="2:46" s="123" customFormat="1" hidden="1" outlineLevel="1" x14ac:dyDescent="0.2">
      <c r="B16" s="117"/>
      <c r="C16" s="118" t="str">
        <f>Januar!C16</f>
        <v>SOLL-Arbeitszeit</v>
      </c>
      <c r="D16" s="119"/>
      <c r="E16" s="126">
        <f>IF(ROUND(E17-E15,8)&lt;0,0,ROUND(E17-E15,8))</f>
        <v>0</v>
      </c>
      <c r="F16" s="127">
        <f>IF(ROUND(F17-F15,8)&lt;0,0,ROUND(F17-F15,8))</f>
        <v>0.35</v>
      </c>
      <c r="G16" s="127">
        <f t="shared" ref="G16:AI16" si="6">IF(ROUND(G17-G15,8)&lt;0,0,ROUND(G17-G15,8))</f>
        <v>0.35</v>
      </c>
      <c r="H16" s="127">
        <f t="shared" si="6"/>
        <v>0.35</v>
      </c>
      <c r="I16" s="127">
        <f t="shared" si="6"/>
        <v>0.35</v>
      </c>
      <c r="J16" s="127">
        <f t="shared" si="6"/>
        <v>0.35</v>
      </c>
      <c r="K16" s="127">
        <f t="shared" si="6"/>
        <v>0</v>
      </c>
      <c r="L16" s="127">
        <f t="shared" si="6"/>
        <v>0</v>
      </c>
      <c r="M16" s="127">
        <f t="shared" si="6"/>
        <v>0.35</v>
      </c>
      <c r="N16" s="127">
        <f t="shared" si="6"/>
        <v>0.35</v>
      </c>
      <c r="O16" s="127">
        <f t="shared" si="6"/>
        <v>0.35</v>
      </c>
      <c r="P16" s="127">
        <f t="shared" si="6"/>
        <v>0.35</v>
      </c>
      <c r="Q16" s="127">
        <f t="shared" si="6"/>
        <v>0.35</v>
      </c>
      <c r="R16" s="127">
        <f t="shared" si="6"/>
        <v>0</v>
      </c>
      <c r="S16" s="127">
        <f t="shared" si="6"/>
        <v>0</v>
      </c>
      <c r="T16" s="127">
        <f t="shared" si="6"/>
        <v>0.35</v>
      </c>
      <c r="U16" s="127">
        <f t="shared" si="6"/>
        <v>0.35</v>
      </c>
      <c r="V16" s="127">
        <f t="shared" si="6"/>
        <v>0.35</v>
      </c>
      <c r="W16" s="127">
        <f t="shared" si="6"/>
        <v>0.35</v>
      </c>
      <c r="X16" s="127">
        <f t="shared" si="6"/>
        <v>0.35</v>
      </c>
      <c r="Y16" s="127">
        <f t="shared" si="6"/>
        <v>0</v>
      </c>
      <c r="Z16" s="127">
        <f t="shared" si="6"/>
        <v>0</v>
      </c>
      <c r="AA16" s="127">
        <f t="shared" si="6"/>
        <v>0.35</v>
      </c>
      <c r="AB16" s="127">
        <f t="shared" si="6"/>
        <v>0.35</v>
      </c>
      <c r="AC16" s="127">
        <f t="shared" si="6"/>
        <v>0.35</v>
      </c>
      <c r="AD16" s="127">
        <f t="shared" si="6"/>
        <v>0.35</v>
      </c>
      <c r="AE16" s="127">
        <f t="shared" si="6"/>
        <v>0.35</v>
      </c>
      <c r="AF16" s="127">
        <f t="shared" si="6"/>
        <v>0</v>
      </c>
      <c r="AG16" s="127">
        <f t="shared" si="6"/>
        <v>0</v>
      </c>
      <c r="AH16" s="127">
        <f t="shared" si="6"/>
        <v>0.35</v>
      </c>
      <c r="AI16" s="127">
        <f t="shared" si="6"/>
        <v>0</v>
      </c>
      <c r="AJ16" s="128">
        <f t="shared" si="3"/>
        <v>7.349999999999997</v>
      </c>
      <c r="AK16" s="130"/>
      <c r="AL16" s="121" t="s">
        <v>416</v>
      </c>
      <c r="AM16" s="121"/>
      <c r="AN16" s="122"/>
      <c r="AT16" s="129"/>
    </row>
    <row r="17" spans="1:46" s="123" customFormat="1" collapsed="1" x14ac:dyDescent="0.2">
      <c r="B17" s="117"/>
      <c r="C17" s="118" t="str">
        <f>Januar!C17</f>
        <v>Regelarbeitszeit</v>
      </c>
      <c r="D17" s="119"/>
      <c r="E17" s="126">
        <f>IF(ISERROR(IF(E4&lt;&gt;0,VLOOKUP(DATE($D$2,MONTH($C$2),E$4),Raz,WEEKDAY(DATE($D$2,MONTH($C$2),E$4))+2),0)),0,IF(E4&lt;&gt;0,VLOOKUP(DATE($D$2,MONTH($C$2),E$4),Raz,WEEKDAY(DATE($D$2,MONTH($C$2),E$4))+2),0))</f>
        <v>0</v>
      </c>
      <c r="F17" s="127">
        <f t="shared" ref="F17:AI17" si="7">IF(ISERROR(IF(F4&lt;&gt;0,VLOOKUP(DATE($D$2,MONTH($C$2),F$4),Raz,WEEKDAY(DATE($D$2,MONTH($C$2),F$4))+2),0)),0,IF(F4&lt;&gt;0,VLOOKUP(DATE($D$2,MONTH($C$2),F$4),Raz,WEEKDAY(DATE($D$2,MONTH($C$2),F$4))+2),0))</f>
        <v>0.35000000000000003</v>
      </c>
      <c r="G17" s="127">
        <f t="shared" si="7"/>
        <v>0.35000000000000003</v>
      </c>
      <c r="H17" s="127">
        <f t="shared" si="7"/>
        <v>0.35000000000000003</v>
      </c>
      <c r="I17" s="127">
        <f t="shared" si="7"/>
        <v>0.35</v>
      </c>
      <c r="J17" s="127">
        <f t="shared" si="7"/>
        <v>0.35000000000000003</v>
      </c>
      <c r="K17" s="127">
        <f t="shared" si="7"/>
        <v>0</v>
      </c>
      <c r="L17" s="127">
        <f t="shared" si="7"/>
        <v>0</v>
      </c>
      <c r="M17" s="127">
        <f t="shared" si="7"/>
        <v>0.35000000000000003</v>
      </c>
      <c r="N17" s="127">
        <f t="shared" si="7"/>
        <v>0.35000000000000003</v>
      </c>
      <c r="O17" s="127">
        <f t="shared" si="7"/>
        <v>0.35000000000000003</v>
      </c>
      <c r="P17" s="127">
        <f t="shared" si="7"/>
        <v>0.35</v>
      </c>
      <c r="Q17" s="127">
        <f t="shared" si="7"/>
        <v>0.35000000000000003</v>
      </c>
      <c r="R17" s="127">
        <f t="shared" si="7"/>
        <v>0</v>
      </c>
      <c r="S17" s="127">
        <f t="shared" si="7"/>
        <v>0</v>
      </c>
      <c r="T17" s="127">
        <f t="shared" si="7"/>
        <v>0.35000000000000003</v>
      </c>
      <c r="U17" s="127">
        <f t="shared" si="7"/>
        <v>0.35000000000000003</v>
      </c>
      <c r="V17" s="127">
        <f t="shared" si="7"/>
        <v>0.35000000000000003</v>
      </c>
      <c r="W17" s="127">
        <f t="shared" si="7"/>
        <v>0.35</v>
      </c>
      <c r="X17" s="127">
        <f t="shared" si="7"/>
        <v>0.35000000000000003</v>
      </c>
      <c r="Y17" s="127">
        <f t="shared" si="7"/>
        <v>0</v>
      </c>
      <c r="Z17" s="127">
        <f t="shared" si="7"/>
        <v>0</v>
      </c>
      <c r="AA17" s="127">
        <f t="shared" si="7"/>
        <v>0.35000000000000003</v>
      </c>
      <c r="AB17" s="127">
        <f t="shared" si="7"/>
        <v>0.35000000000000003</v>
      </c>
      <c r="AC17" s="127">
        <f t="shared" si="7"/>
        <v>0.35000000000000003</v>
      </c>
      <c r="AD17" s="127">
        <f t="shared" si="7"/>
        <v>0.35</v>
      </c>
      <c r="AE17" s="127">
        <f t="shared" si="7"/>
        <v>0.35000000000000003</v>
      </c>
      <c r="AF17" s="127">
        <f t="shared" si="7"/>
        <v>0</v>
      </c>
      <c r="AG17" s="127">
        <f t="shared" si="7"/>
        <v>0</v>
      </c>
      <c r="AH17" s="127">
        <f t="shared" si="7"/>
        <v>0.35000000000000003</v>
      </c>
      <c r="AI17" s="127">
        <f t="shared" si="7"/>
        <v>0</v>
      </c>
      <c r="AJ17" s="128">
        <f t="shared" si="3"/>
        <v>7.349999999999997</v>
      </c>
      <c r="AK17" s="131"/>
      <c r="AL17" s="121"/>
      <c r="AM17" s="121"/>
      <c r="AN17" s="122"/>
    </row>
    <row r="18" spans="1:46" s="123" customFormat="1" x14ac:dyDescent="0.2">
      <c r="B18" s="117"/>
      <c r="C18" s="132" t="str">
        <f>Januar!C18</f>
        <v>Mehr-/Minderleistung</v>
      </c>
      <c r="D18" s="133"/>
      <c r="E18" s="134">
        <f>ROUND(E14-E17,8)</f>
        <v>0</v>
      </c>
      <c r="F18" s="135">
        <f>ROUND(F14-F17,8)</f>
        <v>-0.35</v>
      </c>
      <c r="G18" s="135">
        <f t="shared" ref="G18:AH18" si="8">ROUND(G14-G17,8)</f>
        <v>-0.35</v>
      </c>
      <c r="H18" s="135">
        <f t="shared" si="8"/>
        <v>-0.35</v>
      </c>
      <c r="I18" s="135">
        <f t="shared" si="8"/>
        <v>-0.35</v>
      </c>
      <c r="J18" s="135">
        <f t="shared" si="8"/>
        <v>-0.35</v>
      </c>
      <c r="K18" s="135">
        <f t="shared" si="8"/>
        <v>0</v>
      </c>
      <c r="L18" s="135">
        <f t="shared" si="8"/>
        <v>0</v>
      </c>
      <c r="M18" s="135">
        <f t="shared" si="8"/>
        <v>-0.35</v>
      </c>
      <c r="N18" s="135">
        <f t="shared" si="8"/>
        <v>-0.35</v>
      </c>
      <c r="O18" s="135">
        <f t="shared" si="8"/>
        <v>-0.35</v>
      </c>
      <c r="P18" s="135">
        <f t="shared" si="8"/>
        <v>-0.35</v>
      </c>
      <c r="Q18" s="135">
        <f t="shared" si="8"/>
        <v>-0.35</v>
      </c>
      <c r="R18" s="135">
        <f t="shared" si="8"/>
        <v>0</v>
      </c>
      <c r="S18" s="135">
        <f t="shared" si="8"/>
        <v>0</v>
      </c>
      <c r="T18" s="135">
        <f t="shared" si="8"/>
        <v>-0.35</v>
      </c>
      <c r="U18" s="135">
        <f t="shared" si="8"/>
        <v>-0.35</v>
      </c>
      <c r="V18" s="135">
        <f t="shared" si="8"/>
        <v>-0.35</v>
      </c>
      <c r="W18" s="135">
        <f t="shared" si="8"/>
        <v>-0.35</v>
      </c>
      <c r="X18" s="135">
        <f t="shared" si="8"/>
        <v>-0.35</v>
      </c>
      <c r="Y18" s="135">
        <f t="shared" si="8"/>
        <v>0</v>
      </c>
      <c r="Z18" s="135">
        <f t="shared" si="8"/>
        <v>0</v>
      </c>
      <c r="AA18" s="135">
        <f t="shared" si="8"/>
        <v>-0.35</v>
      </c>
      <c r="AB18" s="135">
        <f t="shared" si="8"/>
        <v>-0.35</v>
      </c>
      <c r="AC18" s="135">
        <f t="shared" si="8"/>
        <v>-0.35</v>
      </c>
      <c r="AD18" s="135">
        <f t="shared" si="8"/>
        <v>-0.35</v>
      </c>
      <c r="AE18" s="135">
        <f t="shared" si="8"/>
        <v>-0.35</v>
      </c>
      <c r="AF18" s="135">
        <f t="shared" si="8"/>
        <v>0</v>
      </c>
      <c r="AG18" s="135">
        <f t="shared" si="8"/>
        <v>0</v>
      </c>
      <c r="AH18" s="135">
        <f t="shared" si="8"/>
        <v>-0.35</v>
      </c>
      <c r="AI18" s="135">
        <f>IF(AI4&lt;&gt;0,ROUND(AI14-AI16,8),0)</f>
        <v>0</v>
      </c>
      <c r="AJ18" s="136">
        <f t="shared" si="3"/>
        <v>-7.349999999999997</v>
      </c>
      <c r="AK18" s="137" t="s">
        <v>418</v>
      </c>
      <c r="AL18" s="121" t="s">
        <v>419</v>
      </c>
      <c r="AM18" s="121"/>
      <c r="AN18" s="122"/>
      <c r="AO18" s="122"/>
    </row>
    <row r="19" spans="1:46" s="138" customFormat="1" ht="24" x14ac:dyDescent="0.2">
      <c r="A19" s="781"/>
      <c r="B19" s="139" t="s">
        <v>420</v>
      </c>
      <c r="C19" s="1049" t="str">
        <f>Januar!C19</f>
        <v>Arbeitszeit-Saldo</v>
      </c>
      <c r="D19" s="903">
        <f ca="1">Oktober!AJ19</f>
        <v>0</v>
      </c>
      <c r="E19" s="1050">
        <f ca="1">IF(E4&lt;&gt;"",IF(DATE($D$2,MONTH($C$2),E$4)&lt;=Eingabeblatt!$I$8,IF(OR(AND(E$86="JA",E14&gt;E16),AND(E86="JA",Eingabeblatt!$I$10="NEIN")),D19,D19+E18),IF(D19=0,0,IF(OR(COUNT(E7:E12,E22:E38)&gt;0,AND(COUNT(E7:E12,E22:E38)=0,E16=0)),IF(OR(AND(E$86="JA",E14&gt;E16),AND(E86="JA",Eingabeblatt!$I$10="NEIN")),D19,D19+E18),0))),D19)</f>
        <v>0</v>
      </c>
      <c r="F19" s="1051">
        <f ca="1">IF(F4&lt;&gt;"",IF(DATE($D$2,MONTH($C$2),F$4)&lt;=Eingabeblatt!$I$8,IF(OR(AND(F$86="JA",F14&gt;F16),AND(F86="JA",Eingabeblatt!$I$10="NEIN")),E19,E19+F18),IF(E19=0,0,IF(OR(COUNT(F7:F12,F22:F38)&gt;0,AND(COUNT(F7:F12,F22:F38)=0,F16=0)),IF(OR(AND(F$86="JA",F14&gt;F16),AND(F86="JA",Eingabeblatt!$I$10="NEIN")),E19,E19+F18),0))),E19)</f>
        <v>0</v>
      </c>
      <c r="G19" s="1051">
        <f ca="1">IF(G4&lt;&gt;"",IF(DATE($D$2,MONTH($C$2),G$4)&lt;=Eingabeblatt!$I$8,IF(OR(AND(G$86="JA",G14&gt;G16),AND(G86="JA",Eingabeblatt!$I$10="NEIN")),F19,F19+G18),IF(F19=0,0,IF(OR(COUNT(G7:G12,G22:G38)&gt;0,AND(COUNT(G7:G12,G22:G38)=0,G16=0)),IF(OR(AND(G$86="JA",G14&gt;G16),AND(G86="JA",Eingabeblatt!$I$10="NEIN")),F19,F19+G18),0))),F19)</f>
        <v>0</v>
      </c>
      <c r="H19" s="1051">
        <f ca="1">IF(H4&lt;&gt;"",IF(DATE($D$2,MONTH($C$2),H$4)&lt;=Eingabeblatt!$I$8,IF(OR(AND(H$86="JA",H14&gt;H16),AND(H86="JA",Eingabeblatt!$I$10="NEIN")),G19,G19+H18),IF(G19=0,0,IF(OR(COUNT(H7:H12,H22:H38)&gt;0,AND(COUNT(H7:H12,H22:H38)=0,H16=0)),IF(OR(AND(H$86="JA",H14&gt;H16),AND(H86="JA",Eingabeblatt!$I$10="NEIN")),G19,G19+H18),0))),G19)</f>
        <v>0</v>
      </c>
      <c r="I19" s="1051">
        <f ca="1">IF(I4&lt;&gt;"",IF(DATE($D$2,MONTH($C$2),I$4)&lt;=Eingabeblatt!$I$8,IF(OR(AND(I$86="JA",I14&gt;I16),AND(I86="JA",Eingabeblatt!$I$10="NEIN")),H19,H19+I18),IF(H19=0,0,IF(OR(COUNT(I7:I12,I22:I38)&gt;0,AND(COUNT(I7:I12,I22:I38)=0,I16=0)),IF(OR(AND(I$86="JA",I14&gt;I16),AND(I86="JA",Eingabeblatt!$I$10="NEIN")),H19,H19+I18),0))),H19)</f>
        <v>0</v>
      </c>
      <c r="J19" s="1051">
        <f ca="1">IF(J4&lt;&gt;"",IF(DATE($D$2,MONTH($C$2),J$4)&lt;=Eingabeblatt!$I$8,IF(OR(AND(J$86="JA",J14&gt;J16),AND(J86="JA",Eingabeblatt!$I$10="NEIN")),I19,I19+J18),IF(I19=0,0,IF(OR(COUNT(J7:J12,J22:J38)&gt;0,AND(COUNT(J7:J12,J22:J38)=0,J16=0)),IF(OR(AND(J$86="JA",J14&gt;J16),AND(J86="JA",Eingabeblatt!$I$10="NEIN")),I19,I19+J18),0))),I19)</f>
        <v>0</v>
      </c>
      <c r="K19" s="1051">
        <f ca="1">IF(K4&lt;&gt;"",IF(DATE($D$2,MONTH($C$2),K$4)&lt;=Eingabeblatt!$I$8,IF(OR(AND(K$86="JA",K14&gt;K16),AND(K86="JA",Eingabeblatt!$I$10="NEIN")),J19,J19+K18),IF(J19=0,0,IF(OR(COUNT(K7:K12,K22:K38)&gt;0,AND(COUNT(K7:K12,K22:K38)=0,K16=0)),IF(OR(AND(K$86="JA",K14&gt;K16),AND(K86="JA",Eingabeblatt!$I$10="NEIN")),J19,J19+K18),0))),J19)</f>
        <v>0</v>
      </c>
      <c r="L19" s="1051">
        <f ca="1">IF(L4&lt;&gt;"",IF(DATE($D$2,MONTH($C$2),L$4)&lt;=Eingabeblatt!$I$8,IF(OR(AND(L$86="JA",L14&gt;L16),AND(L86="JA",Eingabeblatt!$I$10="NEIN")),K19,K19+L18),IF(K19=0,0,IF(OR(COUNT(L7:L12,L22:L38)&gt;0,AND(COUNT(L7:L12,L22:L38)=0,L16=0)),IF(OR(AND(L$86="JA",L14&gt;L16),AND(L86="JA",Eingabeblatt!$I$10="NEIN")),K19,K19+L18),0))),K19)</f>
        <v>0</v>
      </c>
      <c r="M19" s="1051">
        <f ca="1">IF(M4&lt;&gt;"",IF(DATE($D$2,MONTH($C$2),M$4)&lt;=Eingabeblatt!$I$8,IF(OR(AND(M$86="JA",M14&gt;M16),AND(M86="JA",Eingabeblatt!$I$10="NEIN")),L19,L19+M18),IF(L19=0,0,IF(OR(COUNT(M7:M12,M22:M38)&gt;0,AND(COUNT(M7:M12,M22:M38)=0,M16=0)),IF(OR(AND(M$86="JA",M14&gt;M16),AND(M86="JA",Eingabeblatt!$I$10="NEIN")),L19,L19+M18),0))),L19)</f>
        <v>0</v>
      </c>
      <c r="N19" s="1051">
        <f ca="1">IF(N4&lt;&gt;"",IF(DATE($D$2,MONTH($C$2),N$4)&lt;=Eingabeblatt!$I$8,IF(OR(AND(N$86="JA",N14&gt;N16),AND(N86="JA",Eingabeblatt!$I$10="NEIN")),M19,M19+N18),IF(M19=0,0,IF(OR(COUNT(N7:N12,N22:N38)&gt;0,AND(COUNT(N7:N12,N22:N38)=0,N16=0)),IF(OR(AND(N$86="JA",N14&gt;N16),AND(N86="JA",Eingabeblatt!$I$10="NEIN")),M19,M19+N18),0))),M19)</f>
        <v>0</v>
      </c>
      <c r="O19" s="1051">
        <f ca="1">IF(O4&lt;&gt;"",IF(DATE($D$2,MONTH($C$2),O$4)&lt;=Eingabeblatt!$I$8,IF(OR(AND(O$86="JA",O14&gt;O16),AND(O86="JA",Eingabeblatt!$I$10="NEIN")),N19,N19+O18),IF(N19=0,0,IF(OR(COUNT(O7:O12,O22:O38)&gt;0,AND(COUNT(O7:O12,O22:O38)=0,O16=0)),IF(OR(AND(O$86="JA",O14&gt;O16),AND(O86="JA",Eingabeblatt!$I$10="NEIN")),N19,N19+O18),0))),N19)</f>
        <v>0</v>
      </c>
      <c r="P19" s="1051">
        <f ca="1">IF(P4&lt;&gt;"",IF(DATE($D$2,MONTH($C$2),P$4)&lt;=Eingabeblatt!$I$8,IF(OR(AND(P$86="JA",P14&gt;P16),AND(P86="JA",Eingabeblatt!$I$10="NEIN")),O19,O19+P18),IF(O19=0,0,IF(OR(COUNT(P7:P12,P22:P38)&gt;0,AND(COUNT(P7:P12,P22:P38)=0,P16=0)),IF(OR(AND(P$86="JA",P14&gt;P16),AND(P86="JA",Eingabeblatt!$I$10="NEIN")),O19,O19+P18),0))),O19)</f>
        <v>0</v>
      </c>
      <c r="Q19" s="1051">
        <f ca="1">IF(Q4&lt;&gt;"",IF(DATE($D$2,MONTH($C$2),Q$4)&lt;=Eingabeblatt!$I$8,IF(OR(AND(Q$86="JA",Q14&gt;Q16),AND(Q86="JA",Eingabeblatt!$I$10="NEIN")),P19,P19+Q18),IF(P19=0,0,IF(OR(COUNT(Q7:Q12,Q22:Q38)&gt;0,AND(COUNT(Q7:Q12,Q22:Q38)=0,Q16=0)),IF(OR(AND(Q$86="JA",Q14&gt;Q16),AND(Q86="JA",Eingabeblatt!$I$10="NEIN")),P19,P19+Q18),0))),P19)</f>
        <v>0</v>
      </c>
      <c r="R19" s="1051">
        <f ca="1">IF(R4&lt;&gt;"",IF(DATE($D$2,MONTH($C$2),R$4)&lt;=Eingabeblatt!$I$8,IF(OR(AND(R$86="JA",R14&gt;R16),AND(R86="JA",Eingabeblatt!$I$10="NEIN")),Q19,Q19+R18),IF(Q19=0,0,IF(OR(COUNT(R7:R12,R22:R38)&gt;0,AND(COUNT(R7:R12,R22:R38)=0,R16=0)),IF(OR(AND(R$86="JA",R14&gt;R16),AND(R86="JA",Eingabeblatt!$I$10="NEIN")),Q19,Q19+R18),0))),Q19)</f>
        <v>0</v>
      </c>
      <c r="S19" s="1051">
        <f ca="1">IF(S4&lt;&gt;"",IF(DATE($D$2,MONTH($C$2),S$4)&lt;=Eingabeblatt!$I$8,IF(OR(AND(S$86="JA",S14&gt;S16),AND(S86="JA",Eingabeblatt!$I$10="NEIN")),R19,R19+S18),IF(R19=0,0,IF(OR(COUNT(S7:S12,S22:S38)&gt;0,AND(COUNT(S7:S12,S22:S38)=0,S16=0)),IF(OR(AND(S$86="JA",S14&gt;S16),AND(S86="JA",Eingabeblatt!$I$10="NEIN")),R19,R19+S18),0))),R19)</f>
        <v>0</v>
      </c>
      <c r="T19" s="1051">
        <f ca="1">IF(T4&lt;&gt;"",IF(DATE($D$2,MONTH($C$2),T$4)&lt;=Eingabeblatt!$I$8,IF(OR(AND(T$86="JA",T14&gt;T16),AND(T86="JA",Eingabeblatt!$I$10="NEIN")),S19,S19+T18),IF(S19=0,0,IF(OR(COUNT(T7:T12,T22:T38)&gt;0,AND(COUNT(T7:T12,T22:T38)=0,T16=0)),IF(OR(AND(T$86="JA",T14&gt;T16),AND(T86="JA",Eingabeblatt!$I$10="NEIN")),S19,S19+T18),0))),S19)</f>
        <v>0</v>
      </c>
      <c r="U19" s="1051">
        <f ca="1">IF(U4&lt;&gt;"",IF(DATE($D$2,MONTH($C$2),U$4)&lt;=Eingabeblatt!$I$8,IF(OR(AND(U$86="JA",U14&gt;U16),AND(U86="JA",Eingabeblatt!$I$10="NEIN")),T19,T19+U18),IF(T19=0,0,IF(OR(COUNT(U7:U12,U22:U38)&gt;0,AND(COUNT(U7:U12,U22:U38)=0,U16=0)),IF(OR(AND(U$86="JA",U14&gt;U16),AND(U86="JA",Eingabeblatt!$I$10="NEIN")),T19,T19+U18),0))),T19)</f>
        <v>0</v>
      </c>
      <c r="V19" s="1051">
        <f ca="1">IF(V4&lt;&gt;"",IF(DATE($D$2,MONTH($C$2),V$4)&lt;=Eingabeblatt!$I$8,IF(OR(AND(V$86="JA",V14&gt;V16),AND(V86="JA",Eingabeblatt!$I$10="NEIN")),U19,U19+V18),IF(U19=0,0,IF(OR(COUNT(V7:V12,V22:V38)&gt;0,AND(COUNT(V7:V12,V22:V38)=0,V16=0)),IF(OR(AND(V$86="JA",V14&gt;V16),AND(V86="JA",Eingabeblatt!$I$10="NEIN")),U19,U19+V18),0))),U19)</f>
        <v>0</v>
      </c>
      <c r="W19" s="1051">
        <f ca="1">IF(W4&lt;&gt;"",IF(DATE($D$2,MONTH($C$2),W$4)&lt;=Eingabeblatt!$I$8,IF(OR(AND(W$86="JA",W14&gt;W16),AND(W86="JA",Eingabeblatt!$I$10="NEIN")),V19,V19+W18),IF(V19=0,0,IF(OR(COUNT(W7:W12,W22:W38)&gt;0,AND(COUNT(W7:W12,W22:W38)=0,W16=0)),IF(OR(AND(W$86="JA",W14&gt;W16),AND(W86="JA",Eingabeblatt!$I$10="NEIN")),V19,V19+W18),0))),V19)</f>
        <v>0</v>
      </c>
      <c r="X19" s="1051">
        <f ca="1">IF(X4&lt;&gt;"",IF(DATE($D$2,MONTH($C$2),X$4)&lt;=Eingabeblatt!$I$8,IF(OR(AND(X$86="JA",X14&gt;X16),AND(X86="JA",Eingabeblatt!$I$10="NEIN")),W19,W19+X18),IF(W19=0,0,IF(OR(COUNT(X7:X12,X22:X38)&gt;0,AND(COUNT(X7:X12,X22:X38)=0,X16=0)),IF(OR(AND(X$86="JA",X14&gt;X16),AND(X86="JA",Eingabeblatt!$I$10="NEIN")),W19,W19+X18),0))),W19)</f>
        <v>0</v>
      </c>
      <c r="Y19" s="1051">
        <f ca="1">IF(Y4&lt;&gt;"",IF(DATE($D$2,MONTH($C$2),Y$4)&lt;=Eingabeblatt!$I$8,IF(OR(AND(Y$86="JA",Y14&gt;Y16),AND(Y86="JA",Eingabeblatt!$I$10="NEIN")),X19,X19+Y18),IF(X19=0,0,IF(OR(COUNT(Y7:Y12,Y22:Y38)&gt;0,AND(COUNT(Y7:Y12,Y22:Y38)=0,Y16=0)),IF(OR(AND(Y$86="JA",Y14&gt;Y16),AND(Y86="JA",Eingabeblatt!$I$10="NEIN")),X19,X19+Y18),0))),X19)</f>
        <v>0</v>
      </c>
      <c r="Z19" s="1051">
        <f ca="1">IF(Z4&lt;&gt;"",IF(DATE($D$2,MONTH($C$2),Z$4)&lt;=Eingabeblatt!$I$8,IF(OR(AND(Z$86="JA",Z14&gt;Z16),AND(Z86="JA",Eingabeblatt!$I$10="NEIN")),Y19,Y19+Z18),IF(Y19=0,0,IF(OR(COUNT(Z7:Z12,Z22:Z38)&gt;0,AND(COUNT(Z7:Z12,Z22:Z38)=0,Z16=0)),IF(OR(AND(Z$86="JA",Z14&gt;Z16),AND(Z86="JA",Eingabeblatt!$I$10="NEIN")),Y19,Y19+Z18),0))),Y19)</f>
        <v>0</v>
      </c>
      <c r="AA19" s="1051">
        <f ca="1">IF(AA4&lt;&gt;"",IF(DATE($D$2,MONTH($C$2),AA$4)&lt;=Eingabeblatt!$I$8,IF(OR(AND(AA$86="JA",AA14&gt;AA16),AND(AA86="JA",Eingabeblatt!$I$10="NEIN")),Z19,Z19+AA18),IF(Z19=0,0,IF(OR(COUNT(AA7:AA12,AA22:AA38)&gt;0,AND(COUNT(AA7:AA12,AA22:AA38)=0,AA16=0)),IF(OR(AND(AA$86="JA",AA14&gt;AA16),AND(AA86="JA",Eingabeblatt!$I$10="NEIN")),Z19,Z19+AA18),0))),Z19)</f>
        <v>0</v>
      </c>
      <c r="AB19" s="1051">
        <f ca="1">IF(AB4&lt;&gt;"",IF(DATE($D$2,MONTH($C$2),AB$4)&lt;=Eingabeblatt!$I$8,IF(OR(AND(AB$86="JA",AB14&gt;AB16),AND(AB86="JA",Eingabeblatt!$I$10="NEIN")),AA19,AA19+AB18),IF(AA19=0,0,IF(OR(COUNT(AB7:AB12,AB22:AB38)&gt;0,AND(COUNT(AB7:AB12,AB22:AB38)=0,AB16=0)),IF(OR(AND(AB$86="JA",AB14&gt;AB16),AND(AB86="JA",Eingabeblatt!$I$10="NEIN")),AA19,AA19+AB18),0))),AA19)</f>
        <v>0</v>
      </c>
      <c r="AC19" s="1051">
        <f ca="1">IF(AC4&lt;&gt;"",IF(DATE($D$2,MONTH($C$2),AC$4)&lt;=Eingabeblatt!$I$8,IF(OR(AND(AC$86="JA",AC14&gt;AC16),AND(AC86="JA",Eingabeblatt!$I$10="NEIN")),AB19,AB19+AC18),IF(AB19=0,0,IF(OR(COUNT(AC7:AC12,AC22:AC38)&gt;0,AND(COUNT(AC7:AC12,AC22:AC38)=0,AC16=0)),IF(OR(AND(AC$86="JA",AC14&gt;AC16),AND(AC86="JA",Eingabeblatt!$I$10="NEIN")),AB19,AB19+AC18),0))),AB19)</f>
        <v>0</v>
      </c>
      <c r="AD19" s="1051">
        <f ca="1">IF(AD4&lt;&gt;"",IF(DATE($D$2,MONTH($C$2),AD$4)&lt;=Eingabeblatt!$I$8,IF(OR(AND(AD$86="JA",AD14&gt;AD16),AND(AD86="JA",Eingabeblatt!$I$10="NEIN")),AC19,AC19+AD18),IF(AC19=0,0,IF(OR(COUNT(AD7:AD12,AD22:AD38)&gt;0,AND(COUNT(AD7:AD12,AD22:AD38)=0,AD16=0)),IF(OR(AND(AD$86="JA",AD14&gt;AD16),AND(AD86="JA",Eingabeblatt!$I$10="NEIN")),AC19,AC19+AD18),0))),AC19)</f>
        <v>0</v>
      </c>
      <c r="AE19" s="1051">
        <f ca="1">IF(AE4&lt;&gt;"",IF(DATE($D$2,MONTH($C$2),AE$4)&lt;=Eingabeblatt!$I$8,IF(OR(AND(AE$86="JA",AE14&gt;AE16),AND(AE86="JA",Eingabeblatt!$I$10="NEIN")),AD19,AD19+AE18),IF(AD19=0,0,IF(OR(COUNT(AE7:AE12,AE22:AE38)&gt;0,AND(COUNT(AE7:AE12,AE22:AE38)=0,AE16=0)),IF(OR(AND(AE$86="JA",AE14&gt;AE16),AND(AE86="JA",Eingabeblatt!$I$10="NEIN")),AD19,AD19+AE18),0))),AD19)</f>
        <v>0</v>
      </c>
      <c r="AF19" s="1051">
        <f ca="1">IF(AF4&lt;&gt;"",IF(DATE($D$2,MONTH($C$2),AF$4)&lt;=Eingabeblatt!$I$8,IF(OR(AND(AF$86="JA",AF14&gt;AF16),AND(AF86="JA",Eingabeblatt!$I$10="NEIN")),AE19,AE19+AF18),IF(AE19=0,0,IF(OR(COUNT(AF7:AF12,AF22:AF38)&gt;0,AND(COUNT(AF7:AF12,AF22:AF38)=0,AF16=0)),IF(OR(AND(AF$86="JA",AF14&gt;AF16),AND(AF86="JA",Eingabeblatt!$I$10="NEIN")),AE19,AE19+AF18),0))),AE19)</f>
        <v>0</v>
      </c>
      <c r="AG19" s="1051">
        <f ca="1">IF(AG4&lt;&gt;"",IF(DATE($D$2,MONTH($C$2),AG$4)&lt;=Eingabeblatt!$I$8,IF(OR(AND(AG$86="JA",AG14&gt;AG16),AND(AG86="JA",Eingabeblatt!$I$10="NEIN")),AF19,AF19+AG18),IF(AF19=0,0,IF(OR(COUNT(AG7:AG12,AG22:AG38)&gt;0,AND(COUNT(AG7:AG12,AG22:AG38)=0,AG16=0)),IF(OR(AND(AG$86="JA",AG14&gt;AG16),AND(AG86="JA",Eingabeblatt!$I$10="NEIN")),AF19,AF19+AG18),0))),AF19)</f>
        <v>0</v>
      </c>
      <c r="AH19" s="1051">
        <f ca="1">IF(AH4&lt;&gt;"",IF(DATE($D$2,MONTH($C$2),AH$4)&lt;=Eingabeblatt!$I$8,IF(OR(AND(AH$86="JA",AH14&gt;AH16),AND(AH86="JA",Eingabeblatt!$I$10="NEIN")),AG19,AG19+AH18),IF(AG19=0,0,IF(OR(COUNT(AH7:AH12,AH22:AH38)&gt;0,AND(COUNT(AH7:AH12,AH22:AH38)=0,AH16=0)),IF(OR(AND(AH$86="JA",AH14&gt;AH16),AND(AH86="JA",Eingabeblatt!$I$10="NEIN")),AG19,AG19+AH18),0))),AG19)</f>
        <v>0</v>
      </c>
      <c r="AI19" s="1052">
        <f ca="1">IF(AI4&lt;&gt;"",IF(DATE($D$2,MONTH($C$2),AI$4)&lt;=Eingabeblatt!$I$8,IF(OR(AND(AI$86="JA",AI14&gt;AI16),AND(AI86="JA",Eingabeblatt!$I$10="NEIN")),AH19,AH19+AI18),IF(AH19=0,0,IF(OR(COUNT(AI7:AI12,AI22:AI38)&gt;0,AND(COUNT(AI7:AI12,AI22:AI38)=0,AI16=0)),IF(OR(AND(AI$86="JA",AI14&gt;AI16),AND(AI86="JA",Eingabeblatt!$I$10="NEIN")),AH19,AH19+AI18),0))),AH19)</f>
        <v>0</v>
      </c>
      <c r="AJ19" s="1053">
        <f ca="1">AI19</f>
        <v>0</v>
      </c>
      <c r="AK19" s="904">
        <f ca="1">AI19</f>
        <v>0</v>
      </c>
      <c r="AL19" s="905" t="s">
        <v>422</v>
      </c>
      <c r="AM19" s="905"/>
      <c r="AN19" s="906"/>
      <c r="AO19" s="781"/>
      <c r="AP19" s="781"/>
      <c r="AQ19" s="781"/>
      <c r="AR19" s="781"/>
      <c r="AS19" s="907"/>
      <c r="AT19" s="781"/>
    </row>
    <row r="20" spans="1:46" ht="22.5" hidden="1" customHeight="1" outlineLevel="1" x14ac:dyDescent="0.2">
      <c r="B20" s="143"/>
      <c r="C20" s="953" t="str">
        <f>Januar!C20</f>
        <v>Feiertagssaldo</v>
      </c>
      <c r="D20" s="954">
        <f>Oktober!AJ20</f>
        <v>0</v>
      </c>
      <c r="E20" s="955">
        <f t="shared" ref="E20:AI20" si="9">IF(VLOOKUP(DATE($D$2,MONTH($C$2),E$4),Ferienanspruch,3,TRUE)=100,D20-E21,IF(VLOOKUP(DATE($D$2,MONTH($C$2),E$4),Feiertagsanspruch,6,TRUE)*24&lt;Normtagesarbeitszeit*24,IF((E17-E15)&lt;0,D20-E21+(E15-E17),IF(E17&gt;0,D20-E21,D20-E21+E15)),IF((E17-E15)&lt;0,D20-E21+(E15-E17),IF(E17&gt;0,D20-E21,D20-E21+E15))))</f>
        <v>0</v>
      </c>
      <c r="F20" s="956">
        <f t="shared" si="9"/>
        <v>0</v>
      </c>
      <c r="G20" s="956">
        <f t="shared" si="9"/>
        <v>0</v>
      </c>
      <c r="H20" s="956">
        <f t="shared" si="9"/>
        <v>0</v>
      </c>
      <c r="I20" s="956">
        <f t="shared" si="9"/>
        <v>0</v>
      </c>
      <c r="J20" s="956">
        <f t="shared" si="9"/>
        <v>0</v>
      </c>
      <c r="K20" s="956">
        <f t="shared" si="9"/>
        <v>0</v>
      </c>
      <c r="L20" s="956">
        <f t="shared" si="9"/>
        <v>0</v>
      </c>
      <c r="M20" s="956">
        <f t="shared" si="9"/>
        <v>0</v>
      </c>
      <c r="N20" s="956">
        <f t="shared" si="9"/>
        <v>0</v>
      </c>
      <c r="O20" s="956">
        <f t="shared" si="9"/>
        <v>0</v>
      </c>
      <c r="P20" s="956">
        <f t="shared" si="9"/>
        <v>0</v>
      </c>
      <c r="Q20" s="956">
        <f t="shared" si="9"/>
        <v>0</v>
      </c>
      <c r="R20" s="956">
        <f t="shared" si="9"/>
        <v>0</v>
      </c>
      <c r="S20" s="956">
        <f t="shared" si="9"/>
        <v>0</v>
      </c>
      <c r="T20" s="956">
        <f t="shared" si="9"/>
        <v>0</v>
      </c>
      <c r="U20" s="956">
        <f t="shared" si="9"/>
        <v>0</v>
      </c>
      <c r="V20" s="956">
        <f t="shared" si="9"/>
        <v>0</v>
      </c>
      <c r="W20" s="956">
        <f t="shared" si="9"/>
        <v>0</v>
      </c>
      <c r="X20" s="956">
        <f t="shared" si="9"/>
        <v>0</v>
      </c>
      <c r="Y20" s="956">
        <f t="shared" si="9"/>
        <v>0</v>
      </c>
      <c r="Z20" s="956">
        <f t="shared" si="9"/>
        <v>0</v>
      </c>
      <c r="AA20" s="956">
        <f t="shared" si="9"/>
        <v>0</v>
      </c>
      <c r="AB20" s="956">
        <f t="shared" si="9"/>
        <v>0</v>
      </c>
      <c r="AC20" s="956">
        <f t="shared" si="9"/>
        <v>0</v>
      </c>
      <c r="AD20" s="956">
        <f t="shared" si="9"/>
        <v>0</v>
      </c>
      <c r="AE20" s="956">
        <f t="shared" si="9"/>
        <v>0</v>
      </c>
      <c r="AF20" s="956">
        <f t="shared" si="9"/>
        <v>0</v>
      </c>
      <c r="AG20" s="956">
        <f t="shared" si="9"/>
        <v>0</v>
      </c>
      <c r="AH20" s="956">
        <f t="shared" si="9"/>
        <v>0</v>
      </c>
      <c r="AI20" s="957">
        <f t="shared" si="9"/>
        <v>0</v>
      </c>
      <c r="AJ20" s="142">
        <f>AI20</f>
        <v>0</v>
      </c>
      <c r="AK20" s="912">
        <f>AJ20</f>
        <v>0</v>
      </c>
      <c r="AL20" s="141" t="s">
        <v>423</v>
      </c>
      <c r="AM20" s="91"/>
      <c r="AN20" s="113"/>
      <c r="AO20" s="113"/>
      <c r="AP20" s="113"/>
      <c r="AQ20" s="89"/>
      <c r="AR20" s="89"/>
    </row>
    <row r="21" spans="1:46" s="88" customFormat="1" hidden="1" outlineLevel="1" x14ac:dyDescent="0.2">
      <c r="A21" s="88" t="s">
        <v>424</v>
      </c>
      <c r="B21" s="143"/>
      <c r="C21" s="1054" t="str">
        <f>Januar!C21</f>
        <v>Komp.Feiertg.f.Teilzeiter</v>
      </c>
      <c r="D21" s="1055"/>
      <c r="E21" s="1056"/>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8"/>
      <c r="AJ21" s="1059">
        <f>SUM(D21:AI21)</f>
        <v>0</v>
      </c>
      <c r="AK21" s="1060">
        <f>AJ21</f>
        <v>0</v>
      </c>
      <c r="AL21" s="144" t="s">
        <v>359</v>
      </c>
      <c r="AM21" s="145"/>
      <c r="AN21" s="146"/>
      <c r="AO21" s="146"/>
      <c r="AP21" s="146"/>
      <c r="AQ21" s="147"/>
      <c r="AR21" s="147"/>
      <c r="AT21" s="8"/>
    </row>
    <row r="22" spans="1:46" s="88" customFormat="1" collapsed="1" x14ac:dyDescent="0.2">
      <c r="A22" s="148"/>
      <c r="B22" s="143"/>
      <c r="C22" s="149" t="str">
        <f>Januar!C22</f>
        <v>Ferienbezug</v>
      </c>
      <c r="D22" s="150">
        <f>Oktober!AK22</f>
        <v>8.0500000000000007</v>
      </c>
      <c r="E22" s="913"/>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322"/>
      <c r="AJ22" s="151">
        <f>SUM(E22:AI22)</f>
        <v>0</v>
      </c>
      <c r="AK22" s="152">
        <f>ROUND(D22-AJ22,8)</f>
        <v>8.0500000000000007</v>
      </c>
      <c r="AL22" s="144" t="s">
        <v>425</v>
      </c>
      <c r="AM22" s="145" t="s">
        <v>426</v>
      </c>
      <c r="AN22" s="146"/>
      <c r="AO22" s="146"/>
      <c r="AP22" s="146"/>
      <c r="AQ22" s="147"/>
      <c r="AR22" s="147"/>
    </row>
    <row r="23" spans="1:46" s="88" customFormat="1" ht="22.5" hidden="1" customHeight="1" outlineLevel="1" x14ac:dyDescent="0.2">
      <c r="A23" s="148"/>
      <c r="B23" s="153">
        <f>Eingabeblatt!E29</f>
        <v>0</v>
      </c>
      <c r="C23" s="154" t="str">
        <f>Januar!C23</f>
        <v>Kompens. Arbeitszeit</v>
      </c>
      <c r="D23" s="155">
        <f>Oktober!AK23</f>
        <v>0</v>
      </c>
      <c r="E23" s="913"/>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322"/>
      <c r="AJ23" s="151">
        <f>SUM(E23:AI23)</f>
        <v>0</v>
      </c>
      <c r="AK23" s="152">
        <f>IF(B23="",0,ROUND(B23+D23-AJ23,8))</f>
        <v>0</v>
      </c>
      <c r="AL23" s="144" t="s">
        <v>425</v>
      </c>
      <c r="AM23" s="145"/>
      <c r="AN23" s="146"/>
      <c r="AO23" s="692"/>
      <c r="AP23" s="146"/>
      <c r="AQ23" s="147"/>
      <c r="AR23" s="147"/>
    </row>
    <row r="24" spans="1:46" s="88" customFormat="1" ht="22.5" hidden="1" customHeight="1" outlineLevel="1" x14ac:dyDescent="0.2">
      <c r="A24" s="148" t="s">
        <v>424</v>
      </c>
      <c r="B24" s="156"/>
      <c r="C24" s="154" t="str">
        <f>Januar!C24</f>
        <v>Kompens. Überzeit</v>
      </c>
      <c r="D24" s="150">
        <f>Oktober!AK24</f>
        <v>0</v>
      </c>
      <c r="E24" s="913"/>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322"/>
      <c r="AJ24" s="151">
        <f>SUM(E24:AI24)</f>
        <v>0</v>
      </c>
      <c r="AK24" s="152">
        <f>ROUND(D24+AJ85-AJ24,8)</f>
        <v>0</v>
      </c>
      <c r="AL24" s="157" t="s">
        <v>428</v>
      </c>
      <c r="AM24" s="145" t="s">
        <v>429</v>
      </c>
      <c r="AN24" s="146"/>
      <c r="AO24" s="692"/>
      <c r="AP24" s="146"/>
      <c r="AQ24" s="147"/>
      <c r="AR24" s="147"/>
    </row>
    <row r="25" spans="1:46" s="88" customFormat="1" collapsed="1" x14ac:dyDescent="0.2">
      <c r="A25" s="148"/>
      <c r="B25" s="156"/>
      <c r="C25" s="154" t="str">
        <f>Januar!C25</f>
        <v>Krankheit</v>
      </c>
      <c r="D25" s="158">
        <f>Oktober!AK25</f>
        <v>0</v>
      </c>
      <c r="E25" s="913"/>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322"/>
      <c r="AJ25" s="151">
        <f>SUM(E25:AI25)</f>
        <v>0</v>
      </c>
      <c r="AK25" s="152">
        <f t="shared" ref="AK25:AK30" si="10">ROUND(B25+D25+AJ25,8)</f>
        <v>0</v>
      </c>
      <c r="AL25" s="144" t="s">
        <v>359</v>
      </c>
      <c r="AM25" s="145"/>
      <c r="AN25" s="146"/>
      <c r="AO25" s="146"/>
      <c r="AP25" s="147"/>
      <c r="AQ25" s="147"/>
      <c r="AR25" s="147"/>
    </row>
    <row r="26" spans="1:46" s="88" customFormat="1" x14ac:dyDescent="0.2">
      <c r="A26" s="148"/>
      <c r="B26" s="156"/>
      <c r="C26" s="154" t="str">
        <f>Januar!C26</f>
        <v>Unfall</v>
      </c>
      <c r="D26" s="158">
        <f>Oktober!AK26</f>
        <v>0</v>
      </c>
      <c r="E26" s="913"/>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322"/>
      <c r="AJ26" s="151">
        <f>SUM(E26:AI26)</f>
        <v>0</v>
      </c>
      <c r="AK26" s="152">
        <f t="shared" si="10"/>
        <v>0</v>
      </c>
      <c r="AL26" s="144" t="s">
        <v>359</v>
      </c>
      <c r="AM26" s="145" t="s">
        <v>430</v>
      </c>
      <c r="AN26" s="146"/>
      <c r="AO26" s="146"/>
      <c r="AP26" s="146"/>
      <c r="AQ26" s="147"/>
      <c r="AR26" s="147"/>
    </row>
    <row r="27" spans="1:46" s="88" customFormat="1" x14ac:dyDescent="0.2">
      <c r="A27" s="148"/>
      <c r="B27" s="156"/>
      <c r="C27" s="154" t="str">
        <f>Januar!C27</f>
        <v>Militär / Zivildienst</v>
      </c>
      <c r="D27" s="158">
        <f>Oktober!AK27</f>
        <v>0</v>
      </c>
      <c r="E27" s="913"/>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322"/>
      <c r="AJ27" s="151">
        <f t="shared" ref="AJ27:AJ35" si="11">SUM(E27:AI27)</f>
        <v>0</v>
      </c>
      <c r="AK27" s="152">
        <f t="shared" si="10"/>
        <v>0</v>
      </c>
      <c r="AL27" s="144" t="s">
        <v>359</v>
      </c>
      <c r="AM27" s="145"/>
      <c r="AN27" s="146"/>
      <c r="AO27" s="146"/>
      <c r="AP27" s="147"/>
      <c r="AQ27" s="147"/>
      <c r="AR27" s="147"/>
    </row>
    <row r="28" spans="1:46" s="88" customFormat="1" ht="22.5" hidden="1" customHeight="1" outlineLevel="2" x14ac:dyDescent="0.2">
      <c r="A28" s="148" t="s">
        <v>424</v>
      </c>
      <c r="B28" s="156"/>
      <c r="C28" s="154" t="str">
        <f>Januar!C28</f>
        <v>Nichtberufsunfall</v>
      </c>
      <c r="D28" s="158">
        <f>Oktober!AK28</f>
        <v>0</v>
      </c>
      <c r="E28" s="913"/>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322"/>
      <c r="AJ28" s="151">
        <f t="shared" si="11"/>
        <v>0</v>
      </c>
      <c r="AK28" s="152">
        <f t="shared" si="10"/>
        <v>0</v>
      </c>
      <c r="AL28" s="157" t="s">
        <v>359</v>
      </c>
      <c r="AM28" s="145"/>
      <c r="AN28" s="146"/>
      <c r="AO28" s="692"/>
      <c r="AP28" s="146"/>
      <c r="AQ28" s="147"/>
      <c r="AR28" s="147"/>
    </row>
    <row r="29" spans="1:46" s="88" customFormat="1" collapsed="1" x14ac:dyDescent="0.2">
      <c r="A29" s="148"/>
      <c r="B29" s="156"/>
      <c r="C29" s="154" t="str">
        <f>Januar!C29</f>
        <v>Weiterbildung</v>
      </c>
      <c r="D29" s="158">
        <f>Oktober!AK29</f>
        <v>0</v>
      </c>
      <c r="E29" s="913"/>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322"/>
      <c r="AJ29" s="151">
        <f t="shared" si="11"/>
        <v>0</v>
      </c>
      <c r="AK29" s="152">
        <f t="shared" si="10"/>
        <v>0</v>
      </c>
      <c r="AL29" s="144" t="s">
        <v>359</v>
      </c>
      <c r="AM29" s="145"/>
      <c r="AN29" s="146"/>
      <c r="AO29" s="146"/>
      <c r="AP29" s="147"/>
      <c r="AQ29" s="147"/>
      <c r="AR29" s="147"/>
    </row>
    <row r="30" spans="1:46" s="88" customFormat="1" x14ac:dyDescent="0.2">
      <c r="A30" s="148"/>
      <c r="B30" s="156"/>
      <c r="C30" s="154" t="str">
        <f>Januar!C30</f>
        <v>Unbezahlter Urlaub</v>
      </c>
      <c r="D30" s="158">
        <f>Oktober!AK30</f>
        <v>0</v>
      </c>
      <c r="E30" s="913"/>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322"/>
      <c r="AJ30" s="151">
        <f t="shared" si="11"/>
        <v>0</v>
      </c>
      <c r="AK30" s="152">
        <f t="shared" si="10"/>
        <v>0</v>
      </c>
      <c r="AL30" s="144" t="s">
        <v>359</v>
      </c>
      <c r="AM30" s="145"/>
      <c r="AN30" s="146"/>
      <c r="AO30" s="146"/>
      <c r="AP30" s="147"/>
      <c r="AQ30" s="147"/>
      <c r="AR30" s="147"/>
    </row>
    <row r="31" spans="1:46" s="88" customFormat="1" x14ac:dyDescent="0.2">
      <c r="A31" s="148"/>
      <c r="B31" s="159">
        <f>IF(Eingabeblatt!C183="OK",Eingabeblatt!A183,"  Fehler")</f>
        <v>0</v>
      </c>
      <c r="C31" s="154" t="str">
        <f>Januar!C31</f>
        <v>Bezahlter Urlaub</v>
      </c>
      <c r="D31" s="158">
        <f>Oktober!AK31</f>
        <v>0</v>
      </c>
      <c r="E31" s="913"/>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322"/>
      <c r="AJ31" s="151">
        <f t="shared" si="11"/>
        <v>0</v>
      </c>
      <c r="AK31" s="160">
        <f>ROUND(B31+D31-AJ31,8)</f>
        <v>0</v>
      </c>
      <c r="AL31" s="144" t="s">
        <v>425</v>
      </c>
      <c r="AM31" s="145"/>
      <c r="AN31" s="146"/>
      <c r="AO31" s="146"/>
      <c r="AP31" s="147"/>
      <c r="AQ31" s="147"/>
      <c r="AR31" s="147"/>
    </row>
    <row r="32" spans="1:46" s="88" customFormat="1" x14ac:dyDescent="0.2">
      <c r="A32" s="148"/>
      <c r="B32" s="159">
        <f>IF(Eingabeblatt!C184="OK",Eingabeblatt!A184,"  Fehler")</f>
        <v>0</v>
      </c>
      <c r="C32" s="161" t="str">
        <f>Januar!C32</f>
        <v>Kaderarbeitszeit</v>
      </c>
      <c r="D32" s="162">
        <f>Oktober!AK32</f>
        <v>0</v>
      </c>
      <c r="E32" s="914"/>
      <c r="F32" s="915"/>
      <c r="G32" s="915"/>
      <c r="H32" s="915"/>
      <c r="I32" s="915"/>
      <c r="J32" s="915"/>
      <c r="K32" s="915"/>
      <c r="L32" s="915"/>
      <c r="M32" s="915"/>
      <c r="N32" s="915"/>
      <c r="O32" s="915"/>
      <c r="P32" s="915"/>
      <c r="Q32" s="915"/>
      <c r="R32" s="915"/>
      <c r="S32" s="915"/>
      <c r="T32" s="915"/>
      <c r="U32" s="915"/>
      <c r="V32" s="915"/>
      <c r="W32" s="915"/>
      <c r="X32" s="915"/>
      <c r="Y32" s="915"/>
      <c r="Z32" s="915"/>
      <c r="AA32" s="915"/>
      <c r="AB32" s="915"/>
      <c r="AC32" s="915"/>
      <c r="AD32" s="915"/>
      <c r="AE32" s="915"/>
      <c r="AF32" s="915"/>
      <c r="AG32" s="915"/>
      <c r="AH32" s="915"/>
      <c r="AI32" s="916"/>
      <c r="AJ32" s="163">
        <f t="shared" si="11"/>
        <v>0</v>
      </c>
      <c r="AK32" s="164">
        <f>ROUND(B32+D32-AJ32,8)</f>
        <v>0</v>
      </c>
      <c r="AL32" s="157" t="s">
        <v>425</v>
      </c>
      <c r="AM32" s="145"/>
      <c r="AN32" s="146"/>
      <c r="AO32" s="146"/>
      <c r="AP32" s="146"/>
      <c r="AQ32" s="147"/>
      <c r="AR32" s="147"/>
    </row>
    <row r="33" spans="1:46" ht="22.5" hidden="1" customHeight="1" outlineLevel="1" x14ac:dyDescent="0.2">
      <c r="A33" s="165" t="s">
        <v>424</v>
      </c>
      <c r="B33" s="156">
        <f>IF(Eingabeblatt!C185="OK",Eingabeblatt!A185,"  Fehler")</f>
        <v>0</v>
      </c>
      <c r="C33" s="166" t="str">
        <f>Januar!C33</f>
        <v>Nebenbeschäftigung</v>
      </c>
      <c r="D33" s="162"/>
      <c r="E33" s="167"/>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9"/>
      <c r="AJ33" s="140">
        <f t="shared" si="11"/>
        <v>0</v>
      </c>
      <c r="AK33" s="917">
        <f>ROUND(B33+D33-AJ33,8)</f>
        <v>0</v>
      </c>
      <c r="AL33" s="157" t="s">
        <v>425</v>
      </c>
      <c r="AM33" s="91"/>
      <c r="AN33" s="113"/>
      <c r="AO33" s="692"/>
      <c r="AP33" s="113"/>
      <c r="AQ33" s="89"/>
      <c r="AR33" s="89"/>
      <c r="AT33" s="88"/>
    </row>
    <row r="34" spans="1:46" ht="22.5" hidden="1" customHeight="1" outlineLevel="1" x14ac:dyDescent="0.2">
      <c r="A34" s="165"/>
      <c r="B34" s="156">
        <f>IF(Eingabeblatt!C182="OK",Eingabeblatt!A182,"  Fehler")</f>
        <v>0</v>
      </c>
      <c r="C34" s="170" t="str">
        <f>Januar!C34</f>
        <v>D A G</v>
      </c>
      <c r="D34" s="162">
        <f>Oktober!AK34</f>
        <v>0</v>
      </c>
      <c r="E34" s="171"/>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3"/>
      <c r="AJ34" s="174">
        <f>SUM(E34:AI34)</f>
        <v>0</v>
      </c>
      <c r="AK34" s="152">
        <f>ROUND(B34+D34-AJ34,8)</f>
        <v>0</v>
      </c>
      <c r="AL34" s="157" t="s">
        <v>425</v>
      </c>
      <c r="AM34" s="91"/>
      <c r="AN34" s="113"/>
      <c r="AO34" s="692"/>
      <c r="AP34" s="113"/>
      <c r="AQ34" s="89"/>
      <c r="AR34" s="89"/>
    </row>
    <row r="35" spans="1:46" ht="22.5" hidden="1" customHeight="1" outlineLevel="1" x14ac:dyDescent="0.2">
      <c r="A35" s="165" t="s">
        <v>424</v>
      </c>
      <c r="B35" s="156"/>
      <c r="C35" s="170" t="str">
        <f>Januar!C35</f>
        <v>Diverses</v>
      </c>
      <c r="D35" s="162"/>
      <c r="E35" s="171"/>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c r="AJ35" s="174">
        <f t="shared" si="11"/>
        <v>0</v>
      </c>
      <c r="AK35" s="152">
        <f>ROUND(B35+D35+AJ35,8)</f>
        <v>0</v>
      </c>
      <c r="AL35" s="157" t="s">
        <v>359</v>
      </c>
      <c r="AM35" s="91"/>
      <c r="AN35" s="113"/>
      <c r="AO35" s="692"/>
      <c r="AP35" s="113"/>
      <c r="AQ35" s="89"/>
      <c r="AR35" s="89"/>
    </row>
    <row r="36" spans="1:46" ht="22.5" hidden="1" customHeight="1" outlineLevel="1" x14ac:dyDescent="0.2">
      <c r="A36" s="165" t="s">
        <v>424</v>
      </c>
      <c r="B36" s="156"/>
      <c r="C36" s="170" t="str">
        <f>Januar!C36</f>
        <v>freie Zeile 1</v>
      </c>
      <c r="D36" s="162"/>
      <c r="E36" s="171"/>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c r="AJ36" s="174">
        <f>SUM(E36:AI36)</f>
        <v>0</v>
      </c>
      <c r="AK36" s="152">
        <f>ROUND(B36+D36+AJ36,8)</f>
        <v>0</v>
      </c>
      <c r="AL36" s="157" t="s">
        <v>359</v>
      </c>
      <c r="AM36" s="91"/>
      <c r="AN36" s="113"/>
      <c r="AO36" s="692"/>
      <c r="AP36" s="113"/>
      <c r="AQ36" s="89"/>
      <c r="AR36" s="89"/>
    </row>
    <row r="37" spans="1:46" ht="22.5" hidden="1" customHeight="1" outlineLevel="1" x14ac:dyDescent="0.2">
      <c r="A37" s="165" t="s">
        <v>424</v>
      </c>
      <c r="B37" s="156"/>
      <c r="C37" s="170" t="str">
        <f>Januar!C37</f>
        <v>freie Zeile 2</v>
      </c>
      <c r="D37" s="162"/>
      <c r="E37" s="171"/>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3"/>
      <c r="AJ37" s="174">
        <f>SUM(E37:AI37)</f>
        <v>0</v>
      </c>
      <c r="AK37" s="152">
        <f>ROUND(B37+D37+AJ37,8)</f>
        <v>0</v>
      </c>
      <c r="AL37" s="157" t="s">
        <v>359</v>
      </c>
      <c r="AM37" s="91"/>
      <c r="AN37" s="113"/>
      <c r="AO37" s="692"/>
      <c r="AP37" s="113"/>
      <c r="AQ37" s="89"/>
      <c r="AR37" s="89"/>
    </row>
    <row r="38" spans="1:46" ht="22.5" hidden="1" customHeight="1" outlineLevel="1" x14ac:dyDescent="0.2">
      <c r="A38" s="165" t="s">
        <v>424</v>
      </c>
      <c r="B38" s="156"/>
      <c r="C38" s="175" t="str">
        <f>Januar!C38</f>
        <v>freie Zeile 3</v>
      </c>
      <c r="D38" s="162"/>
      <c r="E38" s="176"/>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8"/>
      <c r="AJ38" s="142">
        <f>SUM(E38:AI38)</f>
        <v>0</v>
      </c>
      <c r="AK38" s="912">
        <f>ROUND(B38+D38+AJ38,8)</f>
        <v>0</v>
      </c>
      <c r="AL38" s="157" t="s">
        <v>359</v>
      </c>
      <c r="AM38" s="91"/>
      <c r="AN38" s="113"/>
      <c r="AO38" s="692"/>
      <c r="AP38" s="113"/>
      <c r="AQ38" s="89"/>
      <c r="AR38" s="89"/>
    </row>
    <row r="39" spans="1:46" s="34" customFormat="1" hidden="1" outlineLevel="1" x14ac:dyDescent="0.2">
      <c r="A39" s="179"/>
      <c r="B39" s="180"/>
      <c r="C39" s="918" t="str">
        <f>Januar!C39</f>
        <v>Arbeitszeit aufgeteilt</v>
      </c>
      <c r="D39" s="1061"/>
      <c r="E39" s="1062">
        <f>ROUND(SUM(E41:E84),8)</f>
        <v>0</v>
      </c>
      <c r="F39" s="1063">
        <f>ROUND(SUM(F41:F84),8)</f>
        <v>0</v>
      </c>
      <c r="G39" s="1063">
        <f>ROUND(SUM(G41:G84),8)</f>
        <v>0</v>
      </c>
      <c r="H39" s="1063">
        <f t="shared" ref="H39:AI39" si="12">ROUND(SUM(H41:H84),8)</f>
        <v>0</v>
      </c>
      <c r="I39" s="1063">
        <f t="shared" si="12"/>
        <v>0</v>
      </c>
      <c r="J39" s="1063">
        <f t="shared" si="12"/>
        <v>0</v>
      </c>
      <c r="K39" s="1063">
        <f t="shared" si="12"/>
        <v>0</v>
      </c>
      <c r="L39" s="1063">
        <f t="shared" si="12"/>
        <v>0</v>
      </c>
      <c r="M39" s="1063">
        <f t="shared" si="12"/>
        <v>0</v>
      </c>
      <c r="N39" s="1063">
        <f t="shared" si="12"/>
        <v>0</v>
      </c>
      <c r="O39" s="1063">
        <f t="shared" si="12"/>
        <v>0</v>
      </c>
      <c r="P39" s="1063">
        <f t="shared" si="12"/>
        <v>0</v>
      </c>
      <c r="Q39" s="1063">
        <f t="shared" si="12"/>
        <v>0</v>
      </c>
      <c r="R39" s="1063">
        <f t="shared" si="12"/>
        <v>0</v>
      </c>
      <c r="S39" s="1063">
        <f t="shared" si="12"/>
        <v>0</v>
      </c>
      <c r="T39" s="1063">
        <f t="shared" si="12"/>
        <v>0</v>
      </c>
      <c r="U39" s="1063">
        <f t="shared" si="12"/>
        <v>0</v>
      </c>
      <c r="V39" s="1063">
        <f t="shared" si="12"/>
        <v>0</v>
      </c>
      <c r="W39" s="1063">
        <f t="shared" si="12"/>
        <v>0</v>
      </c>
      <c r="X39" s="1063">
        <f t="shared" si="12"/>
        <v>0</v>
      </c>
      <c r="Y39" s="1063">
        <f t="shared" si="12"/>
        <v>0</v>
      </c>
      <c r="Z39" s="1063">
        <f t="shared" si="12"/>
        <v>0</v>
      </c>
      <c r="AA39" s="1063">
        <f t="shared" si="12"/>
        <v>0</v>
      </c>
      <c r="AB39" s="1063">
        <f t="shared" si="12"/>
        <v>0</v>
      </c>
      <c r="AC39" s="1063">
        <f t="shared" si="12"/>
        <v>0</v>
      </c>
      <c r="AD39" s="1063">
        <f t="shared" si="12"/>
        <v>0</v>
      </c>
      <c r="AE39" s="1063">
        <f t="shared" si="12"/>
        <v>0</v>
      </c>
      <c r="AF39" s="1063">
        <f t="shared" si="12"/>
        <v>0</v>
      </c>
      <c r="AG39" s="1063">
        <f t="shared" si="12"/>
        <v>0</v>
      </c>
      <c r="AH39" s="1063">
        <f t="shared" si="12"/>
        <v>0</v>
      </c>
      <c r="AI39" s="1064">
        <f t="shared" si="12"/>
        <v>0</v>
      </c>
      <c r="AJ39" s="969"/>
      <c r="AK39" s="1065"/>
      <c r="AL39" s="13"/>
      <c r="AM39" s="181"/>
      <c r="AN39" s="182"/>
      <c r="AT39" s="8"/>
    </row>
    <row r="40" spans="1:46" s="34" customFormat="1" ht="42" customHeight="1" collapsed="1" x14ac:dyDescent="0.2">
      <c r="A40" s="179"/>
      <c r="B40" s="180"/>
      <c r="C40" s="919" t="str">
        <f>Januar!C40</f>
        <v>in folgenden Bereichen nicht oder zuviel aufgeteilte Arbeitszeit</v>
      </c>
      <c r="D40" s="920"/>
      <c r="E40" s="921">
        <f t="shared" ref="E40:AI40" si="13">ROUND(IF(E13=E39,0,IF(E13&lt;&gt;0,E13-E39,0)),8)</f>
        <v>0</v>
      </c>
      <c r="F40" s="922">
        <f t="shared" si="13"/>
        <v>0</v>
      </c>
      <c r="G40" s="922">
        <f t="shared" si="13"/>
        <v>0</v>
      </c>
      <c r="H40" s="922">
        <f t="shared" si="13"/>
        <v>0</v>
      </c>
      <c r="I40" s="922">
        <f t="shared" si="13"/>
        <v>0</v>
      </c>
      <c r="J40" s="922">
        <f t="shared" si="13"/>
        <v>0</v>
      </c>
      <c r="K40" s="922">
        <f t="shared" si="13"/>
        <v>0</v>
      </c>
      <c r="L40" s="922">
        <f t="shared" si="13"/>
        <v>0</v>
      </c>
      <c r="M40" s="922">
        <f t="shared" si="13"/>
        <v>0</v>
      </c>
      <c r="N40" s="922">
        <f t="shared" si="13"/>
        <v>0</v>
      </c>
      <c r="O40" s="922">
        <f t="shared" si="13"/>
        <v>0</v>
      </c>
      <c r="P40" s="922">
        <f t="shared" si="13"/>
        <v>0</v>
      </c>
      <c r="Q40" s="922">
        <f t="shared" si="13"/>
        <v>0</v>
      </c>
      <c r="R40" s="922">
        <f t="shared" si="13"/>
        <v>0</v>
      </c>
      <c r="S40" s="922">
        <f t="shared" si="13"/>
        <v>0</v>
      </c>
      <c r="T40" s="922">
        <f t="shared" si="13"/>
        <v>0</v>
      </c>
      <c r="U40" s="922">
        <f t="shared" si="13"/>
        <v>0</v>
      </c>
      <c r="V40" s="922">
        <f t="shared" si="13"/>
        <v>0</v>
      </c>
      <c r="W40" s="922">
        <f t="shared" si="13"/>
        <v>0</v>
      </c>
      <c r="X40" s="922">
        <f t="shared" si="13"/>
        <v>0</v>
      </c>
      <c r="Y40" s="922">
        <f t="shared" si="13"/>
        <v>0</v>
      </c>
      <c r="Z40" s="922">
        <f t="shared" si="13"/>
        <v>0</v>
      </c>
      <c r="AA40" s="922">
        <f t="shared" si="13"/>
        <v>0</v>
      </c>
      <c r="AB40" s="922">
        <f t="shared" si="13"/>
        <v>0</v>
      </c>
      <c r="AC40" s="922">
        <f t="shared" si="13"/>
        <v>0</v>
      </c>
      <c r="AD40" s="922">
        <f t="shared" si="13"/>
        <v>0</v>
      </c>
      <c r="AE40" s="922">
        <f t="shared" si="13"/>
        <v>0</v>
      </c>
      <c r="AF40" s="922">
        <f t="shared" si="13"/>
        <v>0</v>
      </c>
      <c r="AG40" s="922">
        <f t="shared" si="13"/>
        <v>0</v>
      </c>
      <c r="AH40" s="922">
        <f t="shared" si="13"/>
        <v>0</v>
      </c>
      <c r="AI40" s="923">
        <f t="shared" si="13"/>
        <v>0</v>
      </c>
      <c r="AJ40" s="183"/>
      <c r="AK40" s="924"/>
      <c r="AL40" s="13"/>
      <c r="AM40" s="181"/>
      <c r="AN40" s="182"/>
    </row>
    <row r="41" spans="1:46" s="37" customFormat="1" x14ac:dyDescent="0.2">
      <c r="A41" s="148"/>
      <c r="B41" s="1066" t="str">
        <f>ctArbeitsgebiete!A9</f>
        <v>A01</v>
      </c>
      <c r="C41" s="1067" t="str">
        <f>IF(ctArbeitsgebiete!B9&lt;&gt;"",ctArbeitsgebiete!B9,"")</f>
        <v/>
      </c>
      <c r="D41" s="1068"/>
      <c r="E41" s="1069"/>
      <c r="F41" s="1070"/>
      <c r="G41" s="1070"/>
      <c r="H41" s="1070"/>
      <c r="I41" s="1070"/>
      <c r="J41" s="1070"/>
      <c r="K41" s="1070"/>
      <c r="L41" s="1070"/>
      <c r="M41" s="1070"/>
      <c r="N41" s="1070"/>
      <c r="O41" s="1070"/>
      <c r="P41" s="1070"/>
      <c r="Q41" s="1070"/>
      <c r="R41" s="1070"/>
      <c r="S41" s="1070"/>
      <c r="T41" s="1070"/>
      <c r="U41" s="1070"/>
      <c r="V41" s="1070"/>
      <c r="W41" s="1070"/>
      <c r="X41" s="1070"/>
      <c r="Y41" s="1070"/>
      <c r="Z41" s="1070"/>
      <c r="AA41" s="1070"/>
      <c r="AB41" s="1070"/>
      <c r="AC41" s="1070"/>
      <c r="AD41" s="1070"/>
      <c r="AE41" s="1070"/>
      <c r="AF41" s="1070"/>
      <c r="AG41" s="1070"/>
      <c r="AH41" s="1070"/>
      <c r="AI41" s="1071"/>
      <c r="AJ41" s="1072">
        <f>SUM(E41:AI41)</f>
        <v>0</v>
      </c>
      <c r="AK41" s="152"/>
      <c r="AL41" s="146"/>
      <c r="AM41" s="147"/>
      <c r="AN41" s="147"/>
      <c r="AO41" s="147"/>
      <c r="AP41" s="147"/>
      <c r="AQ41" s="147"/>
      <c r="AR41" s="147"/>
      <c r="AS41" s="88"/>
      <c r="AT41" s="34"/>
    </row>
    <row r="42" spans="1:46" x14ac:dyDescent="0.2">
      <c r="A42" s="165"/>
      <c r="B42" s="185" t="str">
        <f>ctArbeitsgebiete!A10</f>
        <v>A02</v>
      </c>
      <c r="C42" s="186" t="str">
        <f>IF(ctArbeitsgebiete!B10&lt;&gt;"",ctArbeitsgebiete!B10,"")</f>
        <v/>
      </c>
      <c r="D42" s="187"/>
      <c r="E42" s="913"/>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322"/>
      <c r="AJ42" s="188">
        <f t="shared" ref="AJ42:AJ84" si="14">SUM(E42:AI42)</f>
        <v>0</v>
      </c>
      <c r="AK42" s="152"/>
      <c r="AL42" s="113"/>
      <c r="AM42" s="89"/>
      <c r="AN42" s="89"/>
      <c r="AO42" s="89"/>
      <c r="AP42" s="89"/>
      <c r="AQ42" s="89"/>
      <c r="AR42" s="89"/>
      <c r="AT42" s="88"/>
    </row>
    <row r="43" spans="1:46" x14ac:dyDescent="0.2">
      <c r="A43" s="165"/>
      <c r="B43" s="185" t="str">
        <f>ctArbeitsgebiete!A11</f>
        <v>A03</v>
      </c>
      <c r="C43" s="186" t="str">
        <f>IF(ctArbeitsgebiete!B11&lt;&gt;"",ctArbeitsgebiete!B11,"")</f>
        <v/>
      </c>
      <c r="D43" s="187"/>
      <c r="E43" s="913"/>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22"/>
      <c r="AJ43" s="188">
        <f t="shared" si="14"/>
        <v>0</v>
      </c>
      <c r="AK43" s="152"/>
      <c r="AL43" s="113"/>
      <c r="AM43" s="89"/>
      <c r="AN43" s="89"/>
      <c r="AO43" s="89"/>
      <c r="AP43" s="89"/>
      <c r="AQ43" s="89"/>
      <c r="AR43" s="89"/>
    </row>
    <row r="44" spans="1:46" x14ac:dyDescent="0.2">
      <c r="A44" s="165"/>
      <c r="B44" s="185" t="str">
        <f>ctArbeitsgebiete!A12</f>
        <v>A04</v>
      </c>
      <c r="C44" s="186" t="str">
        <f>IF(ctArbeitsgebiete!B12&lt;&gt;"",ctArbeitsgebiete!B12,"")</f>
        <v/>
      </c>
      <c r="D44" s="187"/>
      <c r="E44" s="913"/>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322"/>
      <c r="AJ44" s="188">
        <f t="shared" si="14"/>
        <v>0</v>
      </c>
      <c r="AK44" s="152"/>
      <c r="AL44" s="113"/>
      <c r="AM44" s="89"/>
      <c r="AN44" s="89"/>
      <c r="AO44" s="89"/>
      <c r="AP44" s="89"/>
      <c r="AQ44" s="89"/>
      <c r="AR44" s="89"/>
    </row>
    <row r="45" spans="1:46" x14ac:dyDescent="0.2">
      <c r="A45" s="165"/>
      <c r="B45" s="185" t="str">
        <f>ctArbeitsgebiete!A13</f>
        <v>A05</v>
      </c>
      <c r="C45" s="186" t="str">
        <f>IF(ctArbeitsgebiete!B13&lt;&gt;"",ctArbeitsgebiete!B13,"")</f>
        <v/>
      </c>
      <c r="D45" s="187"/>
      <c r="E45" s="913"/>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322"/>
      <c r="AJ45" s="188">
        <f t="shared" si="14"/>
        <v>0</v>
      </c>
      <c r="AK45" s="152"/>
      <c r="AL45" s="113"/>
      <c r="AM45" s="89"/>
      <c r="AN45" s="89"/>
      <c r="AO45" s="89"/>
      <c r="AP45" s="89"/>
      <c r="AQ45" s="89"/>
      <c r="AR45" s="89"/>
    </row>
    <row r="46" spans="1:46" x14ac:dyDescent="0.2">
      <c r="A46" s="165"/>
      <c r="B46" s="185" t="str">
        <f>ctArbeitsgebiete!A14</f>
        <v>A06</v>
      </c>
      <c r="C46" s="186" t="str">
        <f>IF(ctArbeitsgebiete!B14&lt;&gt;"",ctArbeitsgebiete!B14,"")</f>
        <v/>
      </c>
      <c r="D46" s="187"/>
      <c r="E46" s="913"/>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322"/>
      <c r="AJ46" s="188">
        <f t="shared" si="14"/>
        <v>0</v>
      </c>
      <c r="AK46" s="152"/>
      <c r="AL46" s="113"/>
      <c r="AM46" s="89"/>
      <c r="AN46" s="89"/>
      <c r="AO46" s="89"/>
      <c r="AP46" s="89"/>
      <c r="AQ46" s="89"/>
      <c r="AR46" s="89"/>
    </row>
    <row r="47" spans="1:46" x14ac:dyDescent="0.2">
      <c r="A47" s="165"/>
      <c r="B47" s="185" t="str">
        <f>ctArbeitsgebiete!A15</f>
        <v>A07</v>
      </c>
      <c r="C47" s="186" t="str">
        <f>IF(ctArbeitsgebiete!B15&lt;&gt;"",ctArbeitsgebiete!B15,"")</f>
        <v/>
      </c>
      <c r="D47" s="187"/>
      <c r="E47" s="913"/>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322"/>
      <c r="AJ47" s="188">
        <f t="shared" si="14"/>
        <v>0</v>
      </c>
      <c r="AK47" s="152"/>
      <c r="AL47" s="113"/>
      <c r="AM47" s="89"/>
      <c r="AN47" s="89"/>
      <c r="AO47" s="89"/>
      <c r="AP47" s="89"/>
      <c r="AQ47" s="89"/>
      <c r="AR47" s="89"/>
    </row>
    <row r="48" spans="1:46" x14ac:dyDescent="0.2">
      <c r="A48" s="165"/>
      <c r="B48" s="185" t="str">
        <f>ctArbeitsgebiete!A16</f>
        <v>A08</v>
      </c>
      <c r="C48" s="186" t="str">
        <f>IF(ctArbeitsgebiete!B16&lt;&gt;"",ctArbeitsgebiete!B16,"")</f>
        <v/>
      </c>
      <c r="D48" s="187"/>
      <c r="E48" s="913"/>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322"/>
      <c r="AJ48" s="188">
        <f t="shared" si="14"/>
        <v>0</v>
      </c>
      <c r="AK48" s="152"/>
      <c r="AL48" s="113"/>
      <c r="AM48" s="89"/>
      <c r="AN48" s="89"/>
      <c r="AO48" s="89"/>
      <c r="AP48" s="89"/>
      <c r="AQ48" s="89"/>
      <c r="AR48" s="89"/>
    </row>
    <row r="49" spans="1:44" x14ac:dyDescent="0.2">
      <c r="A49" s="165"/>
      <c r="B49" s="185" t="str">
        <f>ctArbeitsgebiete!A17</f>
        <v>A09</v>
      </c>
      <c r="C49" s="186" t="str">
        <f>IF(ctArbeitsgebiete!B17&lt;&gt;"",ctArbeitsgebiete!B17,"")</f>
        <v/>
      </c>
      <c r="D49" s="187"/>
      <c r="E49" s="913"/>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322"/>
      <c r="AJ49" s="188">
        <f t="shared" si="14"/>
        <v>0</v>
      </c>
      <c r="AK49" s="152"/>
      <c r="AL49" s="113"/>
      <c r="AM49" s="89"/>
      <c r="AN49" s="89"/>
      <c r="AO49" s="89"/>
      <c r="AP49" s="89"/>
      <c r="AQ49" s="89"/>
      <c r="AR49" s="89"/>
    </row>
    <row r="50" spans="1:44" x14ac:dyDescent="0.2">
      <c r="A50" s="165"/>
      <c r="B50" s="185" t="str">
        <f>ctArbeitsgebiete!A18</f>
        <v>A10</v>
      </c>
      <c r="C50" s="186" t="str">
        <f>IF(ctArbeitsgebiete!B18&lt;&gt;"",ctArbeitsgebiete!B18,"")</f>
        <v/>
      </c>
      <c r="D50" s="187"/>
      <c r="E50" s="913"/>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322"/>
      <c r="AJ50" s="188">
        <f t="shared" si="14"/>
        <v>0</v>
      </c>
      <c r="AK50" s="152"/>
      <c r="AL50" s="113"/>
      <c r="AM50" s="89"/>
      <c r="AN50" s="89"/>
      <c r="AO50" s="89"/>
      <c r="AP50" s="89"/>
      <c r="AQ50" s="89"/>
      <c r="AR50" s="89"/>
    </row>
    <row r="51" spans="1:44" x14ac:dyDescent="0.2">
      <c r="A51" s="165"/>
      <c r="B51" s="185" t="str">
        <f>ctArbeitsgebiete!A19</f>
        <v>A11</v>
      </c>
      <c r="C51" s="186" t="str">
        <f>IF(ctArbeitsgebiete!B19&lt;&gt;"",ctArbeitsgebiete!B19,"")</f>
        <v/>
      </c>
      <c r="D51" s="187"/>
      <c r="E51" s="913"/>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322"/>
      <c r="AJ51" s="188">
        <f t="shared" si="14"/>
        <v>0</v>
      </c>
      <c r="AK51" s="152"/>
      <c r="AL51" s="113"/>
      <c r="AM51" s="89"/>
      <c r="AN51" s="89"/>
      <c r="AO51" s="89"/>
      <c r="AP51" s="89"/>
      <c r="AQ51" s="89"/>
      <c r="AR51" s="89"/>
    </row>
    <row r="52" spans="1:44" x14ac:dyDescent="0.2">
      <c r="A52" s="165"/>
      <c r="B52" s="185" t="str">
        <f>ctArbeitsgebiete!A20</f>
        <v>A12</v>
      </c>
      <c r="C52" s="186" t="str">
        <f>IF(ctArbeitsgebiete!B20&lt;&gt;"",ctArbeitsgebiete!B20,"")</f>
        <v/>
      </c>
      <c r="D52" s="187"/>
      <c r="E52" s="913"/>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322"/>
      <c r="AJ52" s="188">
        <f t="shared" si="14"/>
        <v>0</v>
      </c>
      <c r="AK52" s="152"/>
      <c r="AL52" s="113"/>
      <c r="AM52" s="89"/>
      <c r="AN52" s="89"/>
      <c r="AO52" s="89"/>
      <c r="AP52" s="89"/>
      <c r="AQ52" s="89"/>
      <c r="AR52" s="89"/>
    </row>
    <row r="53" spans="1:44" x14ac:dyDescent="0.2">
      <c r="A53" s="165"/>
      <c r="B53" s="185" t="str">
        <f>ctArbeitsgebiete!A21</f>
        <v>A13</v>
      </c>
      <c r="C53" s="186" t="str">
        <f>IF(ctArbeitsgebiete!B21&lt;&gt;"",ctArbeitsgebiete!B21,"")</f>
        <v/>
      </c>
      <c r="D53" s="187"/>
      <c r="E53" s="913"/>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322"/>
      <c r="AJ53" s="188">
        <f t="shared" si="14"/>
        <v>0</v>
      </c>
      <c r="AK53" s="152"/>
      <c r="AL53" s="113"/>
      <c r="AM53" s="89"/>
      <c r="AN53" s="89"/>
      <c r="AO53" s="89"/>
      <c r="AP53" s="89"/>
      <c r="AQ53" s="89"/>
      <c r="AR53" s="89"/>
    </row>
    <row r="54" spans="1:44" x14ac:dyDescent="0.2">
      <c r="A54" s="165"/>
      <c r="B54" s="185" t="str">
        <f>ctArbeitsgebiete!A22</f>
        <v>A14</v>
      </c>
      <c r="C54" s="186" t="str">
        <f>IF(ctArbeitsgebiete!B22&lt;&gt;"",ctArbeitsgebiete!B22,"")</f>
        <v/>
      </c>
      <c r="D54" s="187"/>
      <c r="E54" s="913"/>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322"/>
      <c r="AJ54" s="188">
        <f t="shared" si="14"/>
        <v>0</v>
      </c>
      <c r="AK54" s="152"/>
      <c r="AL54" s="113"/>
      <c r="AM54" s="89"/>
      <c r="AN54" s="89"/>
      <c r="AO54" s="89"/>
      <c r="AP54" s="89"/>
      <c r="AQ54" s="89"/>
      <c r="AR54" s="89"/>
    </row>
    <row r="55" spans="1:44" x14ac:dyDescent="0.2">
      <c r="A55" s="165"/>
      <c r="B55" s="185" t="str">
        <f>ctArbeitsgebiete!A23</f>
        <v>A15</v>
      </c>
      <c r="C55" s="186" t="str">
        <f>IF(ctArbeitsgebiete!B23&lt;&gt;"",ctArbeitsgebiete!B23,"")</f>
        <v/>
      </c>
      <c r="D55" s="187"/>
      <c r="E55" s="913"/>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322"/>
      <c r="AJ55" s="188">
        <f t="shared" si="14"/>
        <v>0</v>
      </c>
      <c r="AK55" s="152"/>
      <c r="AL55" s="113"/>
      <c r="AM55" s="89"/>
      <c r="AN55" s="89"/>
      <c r="AO55" s="89"/>
      <c r="AP55" s="89"/>
      <c r="AQ55" s="89"/>
      <c r="AR55" s="89"/>
    </row>
    <row r="56" spans="1:44" x14ac:dyDescent="0.2">
      <c r="A56" s="165"/>
      <c r="B56" s="189" t="str">
        <f>ctArbeitsgebiete!A24</f>
        <v>A16</v>
      </c>
      <c r="C56" s="190" t="str">
        <f>IF(ctArbeitsgebiete!B24&lt;&gt;"",ctArbeitsgebiete!B24,"")</f>
        <v/>
      </c>
      <c r="D56" s="191"/>
      <c r="E56" s="914"/>
      <c r="F56" s="915"/>
      <c r="G56" s="915"/>
      <c r="H56" s="915"/>
      <c r="I56" s="915"/>
      <c r="J56" s="915"/>
      <c r="K56" s="915"/>
      <c r="L56" s="915"/>
      <c r="M56" s="915"/>
      <c r="N56" s="915"/>
      <c r="O56" s="915"/>
      <c r="P56" s="915"/>
      <c r="Q56" s="915"/>
      <c r="R56" s="915"/>
      <c r="S56" s="915"/>
      <c r="T56" s="915"/>
      <c r="U56" s="915"/>
      <c r="V56" s="915"/>
      <c r="W56" s="915"/>
      <c r="X56" s="915"/>
      <c r="Y56" s="915"/>
      <c r="Z56" s="915"/>
      <c r="AA56" s="915"/>
      <c r="AB56" s="915"/>
      <c r="AC56" s="915"/>
      <c r="AD56" s="915"/>
      <c r="AE56" s="915"/>
      <c r="AF56" s="915"/>
      <c r="AG56" s="915"/>
      <c r="AH56" s="915"/>
      <c r="AI56" s="916"/>
      <c r="AJ56" s="192">
        <f t="shared" si="14"/>
        <v>0</v>
      </c>
      <c r="AK56" s="912"/>
      <c r="AL56" s="113"/>
      <c r="AM56" s="89"/>
      <c r="AN56" s="89"/>
      <c r="AO56" s="89"/>
      <c r="AP56" s="89"/>
      <c r="AQ56" s="89"/>
      <c r="AR56" s="89"/>
    </row>
    <row r="57" spans="1:44" x14ac:dyDescent="0.2">
      <c r="A57" s="165"/>
      <c r="B57" s="1066" t="str">
        <f>ctArbeitsgebiete!D9</f>
        <v>B01</v>
      </c>
      <c r="C57" s="1073" t="str">
        <f>IF(ctArbeitsgebiete!E9&lt;&gt;"",ctArbeitsgebiete!E9,"")</f>
        <v/>
      </c>
      <c r="D57" s="1074" t="str">
        <f>IF(ctArbeitsgebiete!F9&lt;&gt;"",ctArbeitsgebiete!F9,"")</f>
        <v/>
      </c>
      <c r="E57" s="1069"/>
      <c r="F57" s="1070"/>
      <c r="G57" s="1070"/>
      <c r="H57" s="1070"/>
      <c r="I57" s="1070"/>
      <c r="J57" s="1070"/>
      <c r="K57" s="1070"/>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0"/>
      <c r="AH57" s="1070"/>
      <c r="AI57" s="1071"/>
      <c r="AJ57" s="1075">
        <f t="shared" si="14"/>
        <v>0</v>
      </c>
      <c r="AK57" s="1060"/>
      <c r="AL57" s="113"/>
      <c r="AM57" s="89"/>
      <c r="AN57" s="89"/>
      <c r="AO57" s="89"/>
      <c r="AP57" s="89"/>
      <c r="AQ57" s="89"/>
      <c r="AR57" s="89"/>
    </row>
    <row r="58" spans="1:44" x14ac:dyDescent="0.2">
      <c r="A58" s="165"/>
      <c r="B58" s="185" t="str">
        <f>ctArbeitsgebiete!D10</f>
        <v>B02</v>
      </c>
      <c r="C58" s="193" t="str">
        <f>IF(ctArbeitsgebiete!E10&lt;&gt;"",ctArbeitsgebiete!E10,"")</f>
        <v/>
      </c>
      <c r="D58" s="194"/>
      <c r="E58" s="913"/>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322"/>
      <c r="AJ58" s="195">
        <f t="shared" si="14"/>
        <v>0</v>
      </c>
      <c r="AK58" s="152"/>
      <c r="AL58" s="113"/>
      <c r="AM58" s="89"/>
      <c r="AN58" s="89"/>
      <c r="AO58" s="89"/>
      <c r="AP58" s="89"/>
      <c r="AQ58" s="89"/>
      <c r="AR58" s="89"/>
    </row>
    <row r="59" spans="1:44" x14ac:dyDescent="0.2">
      <c r="A59" s="165"/>
      <c r="B59" s="185" t="str">
        <f>ctArbeitsgebiete!D11</f>
        <v>B03</v>
      </c>
      <c r="C59" s="193" t="str">
        <f>IF(ctArbeitsgebiete!E11&lt;&gt;"",ctArbeitsgebiete!E11,"")</f>
        <v/>
      </c>
      <c r="D59" s="194"/>
      <c r="E59" s="913"/>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322"/>
      <c r="AJ59" s="195">
        <f t="shared" si="14"/>
        <v>0</v>
      </c>
      <c r="AK59" s="152"/>
      <c r="AL59" s="113"/>
      <c r="AM59" s="89"/>
      <c r="AN59" s="89"/>
      <c r="AO59" s="89"/>
      <c r="AP59" s="89"/>
      <c r="AQ59" s="89"/>
      <c r="AR59" s="89"/>
    </row>
    <row r="60" spans="1:44" x14ac:dyDescent="0.2">
      <c r="A60" s="165"/>
      <c r="B60" s="185" t="str">
        <f>ctArbeitsgebiete!D12</f>
        <v>B04</v>
      </c>
      <c r="C60" s="193" t="str">
        <f>IF(ctArbeitsgebiete!E12&lt;&gt;"",ctArbeitsgebiete!E12,"")</f>
        <v/>
      </c>
      <c r="D60" s="194"/>
      <c r="E60" s="913"/>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322"/>
      <c r="AJ60" s="195">
        <f t="shared" si="14"/>
        <v>0</v>
      </c>
      <c r="AK60" s="152"/>
      <c r="AL60" s="113"/>
      <c r="AM60" s="89"/>
      <c r="AN60" s="89"/>
      <c r="AO60" s="89"/>
      <c r="AP60" s="89"/>
      <c r="AQ60" s="89"/>
      <c r="AR60" s="89"/>
    </row>
    <row r="61" spans="1:44" x14ac:dyDescent="0.2">
      <c r="A61" s="165"/>
      <c r="B61" s="185" t="str">
        <f>ctArbeitsgebiete!D13</f>
        <v>B05</v>
      </c>
      <c r="C61" s="193" t="str">
        <f>IF(ctArbeitsgebiete!E13&lt;&gt;"",ctArbeitsgebiete!E13,"")</f>
        <v/>
      </c>
      <c r="D61" s="194"/>
      <c r="E61" s="913"/>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322"/>
      <c r="AJ61" s="195">
        <f t="shared" si="14"/>
        <v>0</v>
      </c>
      <c r="AK61" s="152"/>
      <c r="AL61" s="113"/>
      <c r="AM61" s="89"/>
      <c r="AN61" s="89"/>
      <c r="AO61" s="89"/>
      <c r="AP61" s="89"/>
      <c r="AQ61" s="89"/>
      <c r="AR61" s="89"/>
    </row>
    <row r="62" spans="1:44" x14ac:dyDescent="0.2">
      <c r="A62" s="165"/>
      <c r="B62" s="185" t="str">
        <f>ctArbeitsgebiete!D14</f>
        <v>B06</v>
      </c>
      <c r="C62" s="193" t="str">
        <f>IF(ctArbeitsgebiete!E14&lt;&gt;"",ctArbeitsgebiete!E14,"")</f>
        <v/>
      </c>
      <c r="D62" s="194"/>
      <c r="E62" s="913"/>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322"/>
      <c r="AJ62" s="195">
        <f t="shared" si="14"/>
        <v>0</v>
      </c>
      <c r="AK62" s="152"/>
      <c r="AL62" s="113"/>
      <c r="AM62" s="89"/>
      <c r="AN62" s="89"/>
      <c r="AO62" s="89"/>
      <c r="AP62" s="89"/>
      <c r="AQ62" s="89"/>
      <c r="AR62" s="89"/>
    </row>
    <row r="63" spans="1:44" x14ac:dyDescent="0.2">
      <c r="A63" s="165"/>
      <c r="B63" s="185" t="str">
        <f>ctArbeitsgebiete!D15</f>
        <v>B07</v>
      </c>
      <c r="C63" s="193" t="str">
        <f>IF(ctArbeitsgebiete!E15&lt;&gt;"",ctArbeitsgebiete!E15,"")</f>
        <v/>
      </c>
      <c r="D63" s="194"/>
      <c r="E63" s="913"/>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322"/>
      <c r="AJ63" s="195">
        <f t="shared" si="14"/>
        <v>0</v>
      </c>
      <c r="AK63" s="152"/>
      <c r="AL63" s="113"/>
      <c r="AM63" s="89"/>
      <c r="AN63" s="89"/>
      <c r="AO63" s="89"/>
      <c r="AP63" s="89"/>
      <c r="AQ63" s="89"/>
      <c r="AR63" s="89"/>
    </row>
    <row r="64" spans="1:44" x14ac:dyDescent="0.2">
      <c r="A64" s="165"/>
      <c r="B64" s="185" t="str">
        <f>ctArbeitsgebiete!D16</f>
        <v>B08</v>
      </c>
      <c r="C64" s="193" t="str">
        <f>IF(ctArbeitsgebiete!E16&lt;&gt;"",ctArbeitsgebiete!E16,"")</f>
        <v/>
      </c>
      <c r="D64" s="194"/>
      <c r="E64" s="913"/>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322"/>
      <c r="AJ64" s="195">
        <f t="shared" si="14"/>
        <v>0</v>
      </c>
      <c r="AK64" s="152"/>
      <c r="AL64" s="113"/>
      <c r="AM64" s="89"/>
      <c r="AN64" s="89"/>
      <c r="AO64" s="89"/>
      <c r="AP64" s="89"/>
      <c r="AQ64" s="89"/>
      <c r="AR64" s="89"/>
    </row>
    <row r="65" spans="1:44" x14ac:dyDescent="0.2">
      <c r="A65" s="165"/>
      <c r="B65" s="185" t="str">
        <f>ctArbeitsgebiete!D17</f>
        <v>B09</v>
      </c>
      <c r="C65" s="193" t="str">
        <f>IF(ctArbeitsgebiete!E17&lt;&gt;"",ctArbeitsgebiete!E17,"")</f>
        <v/>
      </c>
      <c r="D65" s="194"/>
      <c r="E65" s="913"/>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322"/>
      <c r="AJ65" s="195">
        <f t="shared" si="14"/>
        <v>0</v>
      </c>
      <c r="AK65" s="152"/>
      <c r="AL65" s="113"/>
      <c r="AM65" s="89"/>
      <c r="AN65" s="89"/>
      <c r="AO65" s="89"/>
      <c r="AP65" s="89"/>
      <c r="AQ65" s="89"/>
      <c r="AR65" s="89"/>
    </row>
    <row r="66" spans="1:44" x14ac:dyDescent="0.2">
      <c r="A66" s="165"/>
      <c r="B66" s="185" t="str">
        <f>ctArbeitsgebiete!D18</f>
        <v>B10</v>
      </c>
      <c r="C66" s="193" t="str">
        <f>IF(ctArbeitsgebiete!E18&lt;&gt;"",ctArbeitsgebiete!E18,"")</f>
        <v/>
      </c>
      <c r="D66" s="194"/>
      <c r="E66" s="913"/>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322"/>
      <c r="AJ66" s="195">
        <f t="shared" si="14"/>
        <v>0</v>
      </c>
      <c r="AK66" s="152"/>
      <c r="AL66" s="113"/>
      <c r="AM66" s="89"/>
      <c r="AN66" s="89"/>
      <c r="AO66" s="89"/>
      <c r="AP66" s="89"/>
      <c r="AQ66" s="89"/>
      <c r="AR66" s="89"/>
    </row>
    <row r="67" spans="1:44" x14ac:dyDescent="0.2">
      <c r="A67" s="165"/>
      <c r="B67" s="185" t="str">
        <f>ctArbeitsgebiete!D19</f>
        <v>B11</v>
      </c>
      <c r="C67" s="193" t="str">
        <f>IF(ctArbeitsgebiete!E19&lt;&gt;"",ctArbeitsgebiete!E19,"")</f>
        <v/>
      </c>
      <c r="D67" s="194"/>
      <c r="E67" s="913"/>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322"/>
      <c r="AJ67" s="195">
        <f t="shared" si="14"/>
        <v>0</v>
      </c>
      <c r="AK67" s="152"/>
      <c r="AL67" s="113"/>
      <c r="AM67" s="89"/>
      <c r="AN67" s="89"/>
      <c r="AO67" s="89"/>
      <c r="AP67" s="89"/>
      <c r="AQ67" s="89"/>
      <c r="AR67" s="89"/>
    </row>
    <row r="68" spans="1:44" x14ac:dyDescent="0.2">
      <c r="A68" s="165"/>
      <c r="B68" s="189" t="str">
        <f>ctArbeitsgebiete!D20</f>
        <v>B12</v>
      </c>
      <c r="C68" s="196" t="str">
        <f>IF(ctArbeitsgebiete!E20&lt;&gt;"",ctArbeitsgebiete!E20,"")</f>
        <v/>
      </c>
      <c r="D68" s="197"/>
      <c r="E68" s="914"/>
      <c r="F68" s="915"/>
      <c r="G68" s="915"/>
      <c r="H68" s="915"/>
      <c r="I68" s="915"/>
      <c r="J68" s="915"/>
      <c r="K68" s="915"/>
      <c r="L68" s="915"/>
      <c r="M68" s="915"/>
      <c r="N68" s="915"/>
      <c r="O68" s="915"/>
      <c r="P68" s="915"/>
      <c r="Q68" s="915"/>
      <c r="R68" s="915"/>
      <c r="S68" s="915"/>
      <c r="T68" s="915"/>
      <c r="U68" s="915"/>
      <c r="V68" s="915"/>
      <c r="W68" s="915"/>
      <c r="X68" s="915"/>
      <c r="Y68" s="915"/>
      <c r="Z68" s="915"/>
      <c r="AA68" s="915"/>
      <c r="AB68" s="915"/>
      <c r="AC68" s="915"/>
      <c r="AD68" s="915"/>
      <c r="AE68" s="915"/>
      <c r="AF68" s="915"/>
      <c r="AG68" s="915"/>
      <c r="AH68" s="915"/>
      <c r="AI68" s="916"/>
      <c r="AJ68" s="198">
        <f t="shared" si="14"/>
        <v>0</v>
      </c>
      <c r="AK68" s="912"/>
      <c r="AL68" s="113"/>
      <c r="AM68" s="89"/>
      <c r="AN68" s="89"/>
      <c r="AO68" s="89"/>
      <c r="AP68" s="89"/>
      <c r="AQ68" s="89"/>
      <c r="AR68" s="89"/>
    </row>
    <row r="69" spans="1:44" x14ac:dyDescent="0.2">
      <c r="A69" s="165"/>
      <c r="B69" s="1066" t="str">
        <f>ctArbeitsgebiete!G9</f>
        <v>C01</v>
      </c>
      <c r="C69" s="1076" t="str">
        <f>IF(ctArbeitsgebiete!H9&lt;&gt;"",ctArbeitsgebiete!H9,"")</f>
        <v/>
      </c>
      <c r="D69" s="1077"/>
      <c r="E69" s="1069"/>
      <c r="F69" s="1070"/>
      <c r="G69" s="1070"/>
      <c r="H69" s="1070"/>
      <c r="I69" s="1070"/>
      <c r="J69" s="1070"/>
      <c r="K69" s="1070"/>
      <c r="L69" s="1070"/>
      <c r="M69" s="1070"/>
      <c r="N69" s="1070"/>
      <c r="O69" s="1070"/>
      <c r="P69" s="1070"/>
      <c r="Q69" s="1070"/>
      <c r="R69" s="1070"/>
      <c r="S69" s="1070"/>
      <c r="T69" s="1070"/>
      <c r="U69" s="1070"/>
      <c r="V69" s="1070"/>
      <c r="W69" s="1070"/>
      <c r="X69" s="1070"/>
      <c r="Y69" s="1070"/>
      <c r="Z69" s="1070"/>
      <c r="AA69" s="1070"/>
      <c r="AB69" s="1070"/>
      <c r="AC69" s="1070"/>
      <c r="AD69" s="1070"/>
      <c r="AE69" s="1070"/>
      <c r="AF69" s="1070"/>
      <c r="AG69" s="1070"/>
      <c r="AH69" s="1070"/>
      <c r="AI69" s="1071"/>
      <c r="AJ69" s="1078">
        <f t="shared" si="14"/>
        <v>0</v>
      </c>
      <c r="AK69" s="1060"/>
      <c r="AL69" s="113"/>
      <c r="AM69" s="89"/>
      <c r="AN69" s="89"/>
      <c r="AO69" s="89"/>
      <c r="AP69" s="89"/>
      <c r="AQ69" s="89"/>
      <c r="AR69" s="89"/>
    </row>
    <row r="70" spans="1:44" x14ac:dyDescent="0.2">
      <c r="A70" s="165"/>
      <c r="B70" s="185" t="str">
        <f>ctArbeitsgebiete!G10</f>
        <v>C02</v>
      </c>
      <c r="C70" s="199" t="str">
        <f>IF(ctArbeitsgebiete!H10&lt;&gt;"",ctArbeitsgebiete!H10,"")</f>
        <v/>
      </c>
      <c r="D70" s="200"/>
      <c r="E70" s="913"/>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322"/>
      <c r="AJ70" s="201">
        <f t="shared" si="14"/>
        <v>0</v>
      </c>
      <c r="AK70" s="152"/>
      <c r="AL70" s="113"/>
      <c r="AM70" s="89"/>
      <c r="AN70" s="89"/>
      <c r="AO70" s="89"/>
      <c r="AP70" s="89"/>
      <c r="AQ70" s="89"/>
      <c r="AR70" s="89"/>
    </row>
    <row r="71" spans="1:44" x14ac:dyDescent="0.2">
      <c r="A71" s="165"/>
      <c r="B71" s="185" t="str">
        <f>ctArbeitsgebiete!G11</f>
        <v>C03</v>
      </c>
      <c r="C71" s="199" t="str">
        <f>IF(ctArbeitsgebiete!H11&lt;&gt;"",ctArbeitsgebiete!H11,"")</f>
        <v/>
      </c>
      <c r="D71" s="200"/>
      <c r="E71" s="913"/>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322"/>
      <c r="AJ71" s="201">
        <f t="shared" si="14"/>
        <v>0</v>
      </c>
      <c r="AK71" s="152"/>
      <c r="AL71" s="113"/>
      <c r="AM71" s="89"/>
      <c r="AN71" s="89"/>
      <c r="AO71" s="89"/>
      <c r="AP71" s="89"/>
      <c r="AQ71" s="89"/>
      <c r="AR71" s="89"/>
    </row>
    <row r="72" spans="1:44" x14ac:dyDescent="0.2">
      <c r="A72" s="165"/>
      <c r="B72" s="185" t="str">
        <f>ctArbeitsgebiete!G12</f>
        <v>C04</v>
      </c>
      <c r="C72" s="199" t="str">
        <f>IF(ctArbeitsgebiete!H12&lt;&gt;"",ctArbeitsgebiete!H12,"")</f>
        <v/>
      </c>
      <c r="D72" s="200"/>
      <c r="E72" s="913"/>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322"/>
      <c r="AJ72" s="201">
        <f t="shared" si="14"/>
        <v>0</v>
      </c>
      <c r="AK72" s="152"/>
      <c r="AL72" s="113"/>
      <c r="AM72" s="89"/>
      <c r="AN72" s="89"/>
      <c r="AO72" s="89"/>
      <c r="AP72" s="89"/>
      <c r="AQ72" s="89"/>
      <c r="AR72" s="89"/>
    </row>
    <row r="73" spans="1:44" x14ac:dyDescent="0.2">
      <c r="A73" s="165"/>
      <c r="B73" s="185" t="str">
        <f>ctArbeitsgebiete!G13</f>
        <v>C05</v>
      </c>
      <c r="C73" s="199" t="str">
        <f>IF(ctArbeitsgebiete!H13&lt;&gt;"",ctArbeitsgebiete!H13,"")</f>
        <v/>
      </c>
      <c r="D73" s="200"/>
      <c r="E73" s="913"/>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322"/>
      <c r="AJ73" s="201">
        <f t="shared" si="14"/>
        <v>0</v>
      </c>
      <c r="AK73" s="152"/>
      <c r="AL73" s="113"/>
      <c r="AM73" s="89"/>
      <c r="AN73" s="89"/>
      <c r="AO73" s="89"/>
      <c r="AP73" s="89"/>
      <c r="AQ73" s="89"/>
      <c r="AR73" s="89"/>
    </row>
    <row r="74" spans="1:44" x14ac:dyDescent="0.2">
      <c r="A74" s="165"/>
      <c r="B74" s="185" t="str">
        <f>ctArbeitsgebiete!G14</f>
        <v>C06</v>
      </c>
      <c r="C74" s="199" t="str">
        <f>IF(ctArbeitsgebiete!H14&lt;&gt;"",ctArbeitsgebiete!H14,"")</f>
        <v/>
      </c>
      <c r="D74" s="200"/>
      <c r="E74" s="913"/>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322"/>
      <c r="AJ74" s="201">
        <f t="shared" si="14"/>
        <v>0</v>
      </c>
      <c r="AK74" s="152"/>
      <c r="AL74" s="113"/>
      <c r="AM74" s="89"/>
      <c r="AN74" s="89"/>
      <c r="AO74" s="89"/>
      <c r="AP74" s="89"/>
      <c r="AQ74" s="89"/>
      <c r="AR74" s="89"/>
    </row>
    <row r="75" spans="1:44" x14ac:dyDescent="0.2">
      <c r="A75" s="165"/>
      <c r="B75" s="185" t="str">
        <f>ctArbeitsgebiete!G15</f>
        <v>C07</v>
      </c>
      <c r="C75" s="199" t="str">
        <f>IF(ctArbeitsgebiete!H15&lt;&gt;"",ctArbeitsgebiete!H15,"")</f>
        <v/>
      </c>
      <c r="D75" s="200"/>
      <c r="E75" s="913"/>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322"/>
      <c r="AJ75" s="201">
        <f t="shared" si="14"/>
        <v>0</v>
      </c>
      <c r="AK75" s="152"/>
      <c r="AL75" s="113"/>
      <c r="AM75" s="89"/>
      <c r="AN75" s="89"/>
      <c r="AO75" s="89"/>
      <c r="AP75" s="89"/>
      <c r="AQ75" s="89"/>
      <c r="AR75" s="89"/>
    </row>
    <row r="76" spans="1:44" x14ac:dyDescent="0.2">
      <c r="A76" s="165"/>
      <c r="B76" s="189" t="str">
        <f>ctArbeitsgebiete!G16</f>
        <v>C08</v>
      </c>
      <c r="C76" s="202" t="str">
        <f>IF(ctArbeitsgebiete!H16&lt;&gt;"",ctArbeitsgebiete!H16,"")</f>
        <v/>
      </c>
      <c r="D76" s="203"/>
      <c r="E76" s="914"/>
      <c r="F76" s="915"/>
      <c r="G76" s="915"/>
      <c r="H76" s="915"/>
      <c r="I76" s="915"/>
      <c r="J76" s="915"/>
      <c r="K76" s="915"/>
      <c r="L76" s="915"/>
      <c r="M76" s="915"/>
      <c r="N76" s="915"/>
      <c r="O76" s="915"/>
      <c r="P76" s="915"/>
      <c r="Q76" s="915"/>
      <c r="R76" s="915"/>
      <c r="S76" s="915"/>
      <c r="T76" s="915"/>
      <c r="U76" s="915"/>
      <c r="V76" s="915"/>
      <c r="W76" s="915"/>
      <c r="X76" s="915"/>
      <c r="Y76" s="915"/>
      <c r="Z76" s="915"/>
      <c r="AA76" s="915"/>
      <c r="AB76" s="915"/>
      <c r="AC76" s="915"/>
      <c r="AD76" s="915"/>
      <c r="AE76" s="915"/>
      <c r="AF76" s="915"/>
      <c r="AG76" s="915"/>
      <c r="AH76" s="915"/>
      <c r="AI76" s="916"/>
      <c r="AJ76" s="204">
        <f t="shared" si="14"/>
        <v>0</v>
      </c>
      <c r="AK76" s="912"/>
      <c r="AL76" s="113"/>
      <c r="AM76" s="89"/>
      <c r="AN76" s="89"/>
      <c r="AO76" s="89"/>
      <c r="AP76" s="89"/>
      <c r="AQ76" s="89"/>
      <c r="AR76" s="89"/>
    </row>
    <row r="77" spans="1:44" x14ac:dyDescent="0.2">
      <c r="A77" s="165"/>
      <c r="B77" s="1066" t="str">
        <f>ctArbeitsgebiete!J9</f>
        <v>D01</v>
      </c>
      <c r="C77" s="1079" t="str">
        <f>IF(ctArbeitsgebiete!K9&lt;&gt;"",ctArbeitsgebiete!K9,"")</f>
        <v>DAG</v>
      </c>
      <c r="D77" s="1080"/>
      <c r="E77" s="1069"/>
      <c r="F77" s="1070"/>
      <c r="G77" s="1070"/>
      <c r="H77" s="1070"/>
      <c r="I77" s="1070"/>
      <c r="J77" s="1070"/>
      <c r="K77" s="1070"/>
      <c r="L77" s="1070"/>
      <c r="M77" s="1070"/>
      <c r="N77" s="1070"/>
      <c r="O77" s="1070"/>
      <c r="P77" s="1070"/>
      <c r="Q77" s="1070"/>
      <c r="R77" s="1070"/>
      <c r="S77" s="1070"/>
      <c r="T77" s="1070"/>
      <c r="U77" s="1070"/>
      <c r="V77" s="1070"/>
      <c r="W77" s="1070"/>
      <c r="X77" s="1070"/>
      <c r="Y77" s="1070"/>
      <c r="Z77" s="1070"/>
      <c r="AA77" s="1070"/>
      <c r="AB77" s="1070"/>
      <c r="AC77" s="1070"/>
      <c r="AD77" s="1070"/>
      <c r="AE77" s="1070"/>
      <c r="AF77" s="1070"/>
      <c r="AG77" s="1070"/>
      <c r="AH77" s="1070"/>
      <c r="AI77" s="1071"/>
      <c r="AJ77" s="1059">
        <f t="shared" si="14"/>
        <v>0</v>
      </c>
      <c r="AK77" s="1060"/>
      <c r="AL77" s="113"/>
      <c r="AM77" s="89"/>
      <c r="AN77" s="89"/>
      <c r="AO77" s="89"/>
      <c r="AP77" s="89"/>
      <c r="AQ77" s="89"/>
      <c r="AR77" s="89"/>
    </row>
    <row r="78" spans="1:44" x14ac:dyDescent="0.2">
      <c r="A78" s="165"/>
      <c r="B78" s="185" t="str">
        <f>ctArbeitsgebiete!J10</f>
        <v>D02</v>
      </c>
      <c r="C78" s="205" t="str">
        <f>IF(ctArbeitsgebiete!K10&lt;&gt;"",ctArbeitsgebiete!K10,"")</f>
        <v>Betriebsausflug</v>
      </c>
      <c r="D78" s="206"/>
      <c r="E78" s="913"/>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322"/>
      <c r="AJ78" s="174">
        <f t="shared" si="14"/>
        <v>0</v>
      </c>
      <c r="AK78" s="152"/>
      <c r="AL78" s="113"/>
      <c r="AM78" s="89"/>
      <c r="AN78" s="89"/>
      <c r="AO78" s="89"/>
      <c r="AP78" s="89"/>
      <c r="AQ78" s="89"/>
      <c r="AR78" s="89"/>
    </row>
    <row r="79" spans="1:44" x14ac:dyDescent="0.2">
      <c r="A79" s="165"/>
      <c r="B79" s="185" t="str">
        <f>ctArbeitsgebiete!J11</f>
        <v>D03</v>
      </c>
      <c r="C79" s="205" t="str">
        <f>IF(ctArbeitsgebiete!K11&lt;&gt;"",ctArbeitsgebiete!K11,"")</f>
        <v/>
      </c>
      <c r="D79" s="206"/>
      <c r="E79" s="913"/>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322"/>
      <c r="AJ79" s="174">
        <f t="shared" si="14"/>
        <v>0</v>
      </c>
      <c r="AK79" s="152"/>
      <c r="AL79" s="113"/>
      <c r="AM79" s="89"/>
      <c r="AN79" s="89"/>
      <c r="AO79" s="89"/>
      <c r="AP79" s="89"/>
      <c r="AQ79" s="89"/>
      <c r="AR79" s="89"/>
    </row>
    <row r="80" spans="1:44" x14ac:dyDescent="0.2">
      <c r="A80" s="165"/>
      <c r="B80" s="185" t="str">
        <f>ctArbeitsgebiete!J12</f>
        <v>D04</v>
      </c>
      <c r="C80" s="205" t="str">
        <f>IF(ctArbeitsgebiete!K12&lt;&gt;"",ctArbeitsgebiete!K12,"")</f>
        <v/>
      </c>
      <c r="D80" s="206"/>
      <c r="E80" s="913"/>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322"/>
      <c r="AJ80" s="174">
        <f t="shared" si="14"/>
        <v>0</v>
      </c>
      <c r="AK80" s="152"/>
      <c r="AL80" s="113"/>
      <c r="AM80" s="89"/>
      <c r="AN80" s="89"/>
      <c r="AO80" s="89"/>
      <c r="AP80" s="89"/>
      <c r="AQ80" s="89"/>
      <c r="AR80" s="89"/>
    </row>
    <row r="81" spans="1:44" x14ac:dyDescent="0.2">
      <c r="A81" s="165"/>
      <c r="B81" s="185" t="str">
        <f>ctArbeitsgebiete!J13</f>
        <v>D05</v>
      </c>
      <c r="C81" s="205" t="str">
        <f>IF(ctArbeitsgebiete!K13&lt;&gt;"",ctArbeitsgebiete!K13,"")</f>
        <v/>
      </c>
      <c r="D81" s="206"/>
      <c r="E81" s="913"/>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322"/>
      <c r="AJ81" s="174">
        <f t="shared" si="14"/>
        <v>0</v>
      </c>
      <c r="AK81" s="152"/>
      <c r="AL81" s="113"/>
      <c r="AM81" s="89"/>
      <c r="AN81" s="89"/>
      <c r="AO81" s="89"/>
      <c r="AP81" s="89"/>
      <c r="AQ81" s="89"/>
      <c r="AR81" s="89"/>
    </row>
    <row r="82" spans="1:44" x14ac:dyDescent="0.2">
      <c r="A82" s="165"/>
      <c r="B82" s="185" t="str">
        <f>ctArbeitsgebiete!J14</f>
        <v>D06</v>
      </c>
      <c r="C82" s="205" t="str">
        <f>IF(ctArbeitsgebiete!K14&lt;&gt;"",ctArbeitsgebiete!K14,"")</f>
        <v/>
      </c>
      <c r="D82" s="206"/>
      <c r="E82" s="913"/>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322"/>
      <c r="AJ82" s="174">
        <f t="shared" si="14"/>
        <v>0</v>
      </c>
      <c r="AK82" s="152"/>
      <c r="AL82" s="113"/>
      <c r="AM82" s="89"/>
      <c r="AN82" s="89"/>
      <c r="AO82" s="89"/>
      <c r="AP82" s="89"/>
      <c r="AQ82" s="89"/>
      <c r="AR82" s="89"/>
    </row>
    <row r="83" spans="1:44" x14ac:dyDescent="0.2">
      <c r="A83" s="165"/>
      <c r="B83" s="185" t="str">
        <f>ctArbeitsgebiete!J15</f>
        <v>D07</v>
      </c>
      <c r="C83" s="205" t="str">
        <f>IF(ctArbeitsgebiete!K15&lt;&gt;"",ctArbeitsgebiete!K15,"")</f>
        <v/>
      </c>
      <c r="D83" s="206"/>
      <c r="E83" s="913"/>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322"/>
      <c r="AJ83" s="174">
        <f t="shared" si="14"/>
        <v>0</v>
      </c>
      <c r="AK83" s="152"/>
      <c r="AL83" s="113"/>
      <c r="AM83" s="89"/>
      <c r="AN83" s="89"/>
      <c r="AO83" s="89"/>
      <c r="AP83" s="89"/>
      <c r="AQ83" s="89"/>
      <c r="AR83" s="89"/>
    </row>
    <row r="84" spans="1:44" ht="13.5" thickBot="1" x14ac:dyDescent="0.25">
      <c r="A84" s="165"/>
      <c r="B84" s="189" t="str">
        <f>ctArbeitsgebiete!J16</f>
        <v>D08</v>
      </c>
      <c r="C84" s="207" t="str">
        <f>IF(ctArbeitsgebiete!K16&lt;&gt;"",ctArbeitsgebiete!K16,"")</f>
        <v/>
      </c>
      <c r="D84" s="208"/>
      <c r="E84" s="925"/>
      <c r="F84" s="926"/>
      <c r="G84" s="926"/>
      <c r="H84" s="926"/>
      <c r="I84" s="926"/>
      <c r="J84" s="926"/>
      <c r="K84" s="926"/>
      <c r="L84" s="926"/>
      <c r="M84" s="926"/>
      <c r="N84" s="926"/>
      <c r="O84" s="926"/>
      <c r="P84" s="926"/>
      <c r="Q84" s="926"/>
      <c r="R84" s="926"/>
      <c r="S84" s="926"/>
      <c r="T84" s="926"/>
      <c r="U84" s="926"/>
      <c r="V84" s="926"/>
      <c r="W84" s="926"/>
      <c r="X84" s="926"/>
      <c r="Y84" s="926"/>
      <c r="Z84" s="926"/>
      <c r="AA84" s="926"/>
      <c r="AB84" s="926"/>
      <c r="AC84" s="926"/>
      <c r="AD84" s="926"/>
      <c r="AE84" s="926"/>
      <c r="AF84" s="926"/>
      <c r="AG84" s="926"/>
      <c r="AH84" s="926"/>
      <c r="AI84" s="927"/>
      <c r="AJ84" s="142">
        <f t="shared" si="14"/>
        <v>0</v>
      </c>
      <c r="AK84" s="912"/>
      <c r="AL84" s="113"/>
      <c r="AM84" s="89"/>
      <c r="AN84" s="89"/>
      <c r="AO84" s="89"/>
      <c r="AP84" s="89"/>
      <c r="AQ84" s="89"/>
      <c r="AR84" s="89"/>
    </row>
    <row r="85" spans="1:44" ht="22.5" hidden="1" customHeight="1" outlineLevel="1" thickBot="1" x14ac:dyDescent="0.25">
      <c r="A85" s="8" t="s">
        <v>424</v>
      </c>
      <c r="B85" s="928"/>
      <c r="C85" s="929" t="s">
        <v>433</v>
      </c>
      <c r="D85" s="930"/>
      <c r="E85" s="931">
        <f>IF(AND(E86="JA",E14&gt;=E16),IF(Eingabeblatt!$D$7="JA",(E14-E16)*1.25,E14-E16),IF(AND(E86="JA",Eingabeblatt!$I$10="NEIN"),E14-E16,0))</f>
        <v>0</v>
      </c>
      <c r="F85" s="932"/>
      <c r="G85" s="932"/>
      <c r="H85" s="932"/>
      <c r="I85" s="932"/>
      <c r="J85" s="932"/>
      <c r="K85" s="932"/>
      <c r="L85" s="932"/>
      <c r="M85" s="932"/>
      <c r="N85" s="932"/>
      <c r="O85" s="932"/>
      <c r="P85" s="932"/>
      <c r="Q85" s="932"/>
      <c r="R85" s="932"/>
      <c r="S85" s="932"/>
      <c r="T85" s="932"/>
      <c r="U85" s="932"/>
      <c r="V85" s="932"/>
      <c r="W85" s="932"/>
      <c r="X85" s="932"/>
      <c r="Y85" s="932"/>
      <c r="Z85" s="932"/>
      <c r="AA85" s="932"/>
      <c r="AB85" s="932"/>
      <c r="AC85" s="932"/>
      <c r="AD85" s="932"/>
      <c r="AE85" s="932"/>
      <c r="AF85" s="932"/>
      <c r="AG85" s="932"/>
      <c r="AH85" s="932"/>
      <c r="AI85" s="933"/>
      <c r="AJ85" s="1081">
        <f>SUM(E85:AI85)</f>
        <v>0</v>
      </c>
      <c r="AK85" s="990">
        <f>ROUND(B85+D85+AJ85,8)</f>
        <v>0</v>
      </c>
      <c r="AL85" s="141" t="s">
        <v>434</v>
      </c>
      <c r="AM85" s="91"/>
      <c r="AN85" s="113"/>
      <c r="AO85" s="89"/>
      <c r="AP85" s="89"/>
      <c r="AQ85" s="89"/>
      <c r="AR85" s="89"/>
    </row>
    <row r="86" spans="1:44" ht="15" hidden="1" customHeight="1" outlineLevel="1" x14ac:dyDescent="0.2">
      <c r="A86" s="8" t="s">
        <v>424</v>
      </c>
      <c r="B86" s="934"/>
      <c r="C86" s="935" t="s">
        <v>435</v>
      </c>
      <c r="D86" s="936"/>
      <c r="E86" s="937" t="s">
        <v>436</v>
      </c>
      <c r="F86" s="938"/>
      <c r="G86" s="938"/>
      <c r="H86" s="938"/>
      <c r="I86" s="938"/>
      <c r="J86" s="938"/>
      <c r="K86" s="938"/>
      <c r="L86" s="938"/>
      <c r="M86" s="938"/>
      <c r="N86" s="938"/>
      <c r="O86" s="938"/>
      <c r="P86" s="938"/>
      <c r="Q86" s="938"/>
      <c r="R86" s="938"/>
      <c r="S86" s="938"/>
      <c r="T86" s="938"/>
      <c r="U86" s="938"/>
      <c r="V86" s="938"/>
      <c r="W86" s="938"/>
      <c r="X86" s="938"/>
      <c r="Y86" s="938"/>
      <c r="Z86" s="938"/>
      <c r="AA86" s="938"/>
      <c r="AB86" s="938"/>
      <c r="AC86" s="938"/>
      <c r="AD86" s="938"/>
      <c r="AE86" s="938"/>
      <c r="AF86" s="938"/>
      <c r="AG86" s="938"/>
      <c r="AH86" s="938"/>
      <c r="AI86" s="939"/>
      <c r="AK86" s="210"/>
      <c r="AL86" s="141" t="s">
        <v>437</v>
      </c>
      <c r="AM86" s="89"/>
      <c r="AN86" s="113"/>
      <c r="AO86" s="89"/>
      <c r="AP86" s="89"/>
      <c r="AQ86" s="89"/>
      <c r="AR86" s="89"/>
    </row>
    <row r="87" spans="1:44" ht="15" hidden="1" customHeight="1" outlineLevel="1" x14ac:dyDescent="0.2">
      <c r="A87" s="8" t="s">
        <v>424</v>
      </c>
      <c r="B87" s="934"/>
      <c r="C87" s="934" t="str">
        <f>"Zuschlagsber. = " &amp; Eingabeblatt!$D$7</f>
        <v>Zuschlagsber. = NEIN</v>
      </c>
      <c r="D87" s="936"/>
      <c r="E87" s="940"/>
      <c r="F87" s="941"/>
      <c r="G87" s="941"/>
      <c r="H87" s="941"/>
      <c r="I87" s="941"/>
      <c r="J87" s="941"/>
      <c r="K87" s="941"/>
      <c r="L87" s="941"/>
      <c r="M87" s="941"/>
      <c r="N87" s="941"/>
      <c r="O87" s="941"/>
      <c r="P87" s="941"/>
      <c r="Q87" s="941"/>
      <c r="R87" s="941"/>
      <c r="S87" s="941"/>
      <c r="T87" s="941"/>
      <c r="U87" s="941"/>
      <c r="V87" s="941"/>
      <c r="W87" s="941"/>
      <c r="X87" s="941"/>
      <c r="Y87" s="941"/>
      <c r="Z87" s="941"/>
      <c r="AA87" s="941"/>
      <c r="AB87" s="941"/>
      <c r="AC87" s="941"/>
      <c r="AD87" s="941"/>
      <c r="AE87" s="941"/>
      <c r="AF87" s="941"/>
      <c r="AG87" s="941"/>
      <c r="AH87" s="941"/>
      <c r="AI87" s="942"/>
      <c r="AK87" s="210"/>
      <c r="AL87" s="113"/>
      <c r="AM87" s="113"/>
      <c r="AN87" s="113"/>
      <c r="AO87" s="89"/>
      <c r="AP87" s="89"/>
      <c r="AQ87" s="89"/>
      <c r="AR87" s="89"/>
    </row>
    <row r="88" spans="1:44" hidden="1" outlineLevel="1" collapsed="1" x14ac:dyDescent="0.2">
      <c r="E88" s="323"/>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5"/>
      <c r="AK88" s="211"/>
      <c r="AL88" s="113"/>
      <c r="AM88" s="89"/>
      <c r="AN88" s="113"/>
      <c r="AO88" s="89"/>
      <c r="AP88" s="89"/>
      <c r="AQ88" s="89"/>
      <c r="AR88" s="89"/>
    </row>
    <row r="89" spans="1:44" ht="12.75" hidden="1" customHeight="1" outlineLevel="1" x14ac:dyDescent="0.2">
      <c r="C89" s="212"/>
      <c r="E89" s="326"/>
      <c r="F89" s="324"/>
      <c r="G89" s="324"/>
      <c r="H89" s="324"/>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5"/>
      <c r="AK89" s="210"/>
      <c r="AL89" s="113"/>
      <c r="AM89" s="89"/>
      <c r="AN89" s="89"/>
      <c r="AO89" s="89"/>
      <c r="AP89" s="89"/>
      <c r="AQ89" s="89"/>
      <c r="AR89" s="89"/>
    </row>
    <row r="90" spans="1:44" ht="28.5" hidden="1" customHeight="1" outlineLevel="1" x14ac:dyDescent="0.2">
      <c r="C90" s="213" t="s">
        <v>439</v>
      </c>
      <c r="E90" s="326"/>
      <c r="F90" s="324"/>
      <c r="G90" s="324"/>
      <c r="H90" s="324"/>
      <c r="I90" s="324"/>
      <c r="J90" s="324"/>
      <c r="K90" s="327"/>
      <c r="L90" s="327"/>
      <c r="M90" s="327"/>
      <c r="N90" s="324"/>
      <c r="O90" s="324"/>
      <c r="P90" s="324"/>
      <c r="Q90" s="324"/>
      <c r="R90" s="324"/>
      <c r="S90" s="324"/>
      <c r="T90" s="324"/>
      <c r="U90" s="324"/>
      <c r="V90" s="324"/>
      <c r="W90" s="324"/>
      <c r="X90" s="324"/>
      <c r="Y90" s="324"/>
      <c r="Z90" s="324"/>
      <c r="AA90" s="324"/>
      <c r="AB90" s="324"/>
      <c r="AC90" s="324"/>
      <c r="AD90" s="324"/>
      <c r="AE90" s="324"/>
      <c r="AF90" s="324"/>
      <c r="AG90" s="324"/>
      <c r="AH90" s="324"/>
      <c r="AI90" s="325"/>
      <c r="AK90" s="210"/>
      <c r="AL90" s="113"/>
      <c r="AM90" s="89"/>
      <c r="AN90" s="89"/>
      <c r="AO90" s="89"/>
      <c r="AP90" s="89"/>
      <c r="AQ90" s="89"/>
      <c r="AR90" s="89"/>
    </row>
    <row r="91" spans="1:44" ht="28.5" hidden="1" customHeight="1" outlineLevel="1" thickBot="1" x14ac:dyDescent="0.3">
      <c r="C91" s="214" t="s">
        <v>440</v>
      </c>
      <c r="D91" s="215"/>
      <c r="E91" s="236"/>
      <c r="F91" s="327"/>
      <c r="G91" s="327"/>
      <c r="H91" s="327"/>
      <c r="I91" s="327"/>
      <c r="J91" s="327"/>
      <c r="K91" s="327"/>
      <c r="L91" s="327"/>
      <c r="M91" s="327"/>
      <c r="N91" s="327"/>
      <c r="O91" s="327"/>
      <c r="P91" s="327"/>
      <c r="Q91" s="327"/>
      <c r="R91" s="327"/>
      <c r="S91" s="327"/>
      <c r="T91" s="327"/>
      <c r="U91" s="328"/>
      <c r="V91" s="327"/>
      <c r="W91" s="327"/>
      <c r="X91" s="327"/>
      <c r="Y91" s="327"/>
      <c r="Z91" s="327"/>
      <c r="AA91" s="327"/>
      <c r="AB91" s="327"/>
      <c r="AC91" s="327"/>
      <c r="AD91" s="327"/>
      <c r="AE91" s="327"/>
      <c r="AF91" s="328"/>
      <c r="AG91" s="327"/>
      <c r="AH91" s="943"/>
      <c r="AI91" s="329"/>
      <c r="AJ91" s="88"/>
      <c r="AK91" s="216"/>
      <c r="AL91" s="113"/>
      <c r="AM91" s="89"/>
      <c r="AN91" s="89"/>
      <c r="AO91" s="89"/>
      <c r="AP91" s="89"/>
      <c r="AQ91" s="89"/>
      <c r="AR91" s="89"/>
    </row>
    <row r="92" spans="1:44" ht="28.5" hidden="1" customHeight="1" outlineLevel="1" thickBot="1" x14ac:dyDescent="0.25">
      <c r="C92" s="217" t="s">
        <v>443</v>
      </c>
      <c r="E92" s="326"/>
      <c r="F92" s="324"/>
      <c r="G92" s="324"/>
      <c r="H92" s="324"/>
      <c r="I92" s="330"/>
      <c r="J92" s="324"/>
      <c r="K92" s="327"/>
      <c r="L92" s="327"/>
      <c r="M92" s="327"/>
      <c r="N92" s="324"/>
      <c r="O92" s="324"/>
      <c r="P92" s="324"/>
      <c r="Q92" s="324"/>
      <c r="R92" s="324"/>
      <c r="S92" s="324"/>
      <c r="T92" s="324"/>
      <c r="U92" s="324"/>
      <c r="V92" s="324"/>
      <c r="W92" s="324"/>
      <c r="X92" s="324"/>
      <c r="Y92" s="324"/>
      <c r="Z92" s="324"/>
      <c r="AA92" s="324"/>
      <c r="AB92" s="324"/>
      <c r="AC92" s="324"/>
      <c r="AD92" s="324"/>
      <c r="AE92" s="324"/>
      <c r="AF92" s="324"/>
      <c r="AG92" s="324"/>
      <c r="AH92" s="324"/>
      <c r="AI92" s="325"/>
      <c r="AK92" s="210"/>
      <c r="AL92" s="113"/>
      <c r="AM92" s="89"/>
      <c r="AN92" s="89"/>
      <c r="AO92" s="89"/>
      <c r="AP92" s="89"/>
      <c r="AQ92" s="89"/>
      <c r="AR92" s="89"/>
    </row>
    <row r="93" spans="1:44" ht="28.5" hidden="1" customHeight="1" outlineLevel="1" x14ac:dyDescent="0.2">
      <c r="C93" s="217"/>
      <c r="E93" s="326"/>
      <c r="F93" s="324"/>
      <c r="G93" s="324"/>
      <c r="H93" s="324"/>
      <c r="I93" s="324"/>
      <c r="J93" s="324"/>
      <c r="K93" s="327"/>
      <c r="L93" s="327"/>
      <c r="M93" s="327"/>
      <c r="N93" s="324"/>
      <c r="O93" s="324"/>
      <c r="P93" s="324"/>
      <c r="Q93" s="324"/>
      <c r="R93" s="324"/>
      <c r="S93" s="324"/>
      <c r="T93" s="324"/>
      <c r="U93" s="324"/>
      <c r="V93" s="324"/>
      <c r="W93" s="324"/>
      <c r="X93" s="324"/>
      <c r="Y93" s="324"/>
      <c r="Z93" s="324"/>
      <c r="AA93" s="324"/>
      <c r="AB93" s="324"/>
      <c r="AC93" s="324"/>
      <c r="AD93" s="324"/>
      <c r="AE93" s="324"/>
      <c r="AF93" s="324"/>
      <c r="AG93" s="324"/>
      <c r="AH93" s="324"/>
      <c r="AI93" s="325"/>
      <c r="AK93" s="210"/>
      <c r="AL93" s="113"/>
      <c r="AM93" s="89"/>
      <c r="AN93" s="89"/>
      <c r="AO93" s="89"/>
      <c r="AP93" s="89"/>
      <c r="AQ93" s="89"/>
      <c r="AR93" s="89"/>
    </row>
    <row r="94" spans="1:44" collapsed="1" x14ac:dyDescent="0.2">
      <c r="A94" s="165"/>
      <c r="B94" s="185"/>
      <c r="C94" s="340" t="str">
        <f>IF(ctArbeitsgebiete!H20&lt;&gt;"",ctArbeitsgebiete!H20,"")</f>
        <v/>
      </c>
      <c r="D94" s="334"/>
      <c r="E94" s="944"/>
      <c r="F94" s="945"/>
      <c r="G94" s="945"/>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6"/>
      <c r="AJ94" s="1082">
        <f>SUM(E94:AI94)</f>
        <v>0</v>
      </c>
      <c r="AK94" s="152"/>
      <c r="AL94" s="113"/>
      <c r="AM94" s="89"/>
      <c r="AN94" s="89"/>
      <c r="AO94" s="89"/>
      <c r="AP94" s="89"/>
      <c r="AQ94" s="89"/>
      <c r="AR94" s="89"/>
    </row>
    <row r="95" spans="1:44" x14ac:dyDescent="0.2">
      <c r="A95" s="165"/>
      <c r="B95" s="185"/>
      <c r="C95" s="340" t="str">
        <f>IF(ctArbeitsgebiete!H21&lt;&gt;"",ctArbeitsgebiete!H21,"")</f>
        <v/>
      </c>
      <c r="D95" s="334"/>
      <c r="E95" s="944"/>
      <c r="F95" s="945"/>
      <c r="G95" s="945"/>
      <c r="H95" s="945"/>
      <c r="I95" s="945"/>
      <c r="J95" s="945"/>
      <c r="K95" s="945"/>
      <c r="L95" s="945"/>
      <c r="M95" s="945"/>
      <c r="N95" s="945"/>
      <c r="O95" s="945"/>
      <c r="P95" s="945"/>
      <c r="Q95" s="945"/>
      <c r="R95" s="945"/>
      <c r="S95" s="945"/>
      <c r="T95" s="945"/>
      <c r="U95" s="945"/>
      <c r="V95" s="945"/>
      <c r="W95" s="945"/>
      <c r="X95" s="945"/>
      <c r="Y95" s="945"/>
      <c r="Z95" s="945"/>
      <c r="AA95" s="945"/>
      <c r="AB95" s="945"/>
      <c r="AC95" s="945"/>
      <c r="AD95" s="945"/>
      <c r="AE95" s="945"/>
      <c r="AF95" s="945"/>
      <c r="AG95" s="945"/>
      <c r="AH95" s="945"/>
      <c r="AI95" s="946"/>
      <c r="AJ95" s="338">
        <f t="shared" ref="AJ95:AJ105" si="15">SUM(E95:AI95)</f>
        <v>0</v>
      </c>
      <c r="AK95" s="152"/>
      <c r="AL95" s="113"/>
      <c r="AM95" s="89"/>
      <c r="AN95" s="89"/>
      <c r="AO95" s="89"/>
      <c r="AP95" s="89"/>
      <c r="AQ95" s="89"/>
      <c r="AR95" s="89"/>
    </row>
    <row r="96" spans="1:44" x14ac:dyDescent="0.2">
      <c r="A96" s="165"/>
      <c r="B96" s="185"/>
      <c r="C96" s="340" t="str">
        <f>IF(ctArbeitsgebiete!H22&lt;&gt;"",ctArbeitsgebiete!H22,"")</f>
        <v/>
      </c>
      <c r="D96" s="334"/>
      <c r="E96" s="944"/>
      <c r="F96" s="945"/>
      <c r="G96" s="945"/>
      <c r="H96" s="945"/>
      <c r="I96" s="945"/>
      <c r="J96" s="945"/>
      <c r="K96" s="945"/>
      <c r="L96" s="945"/>
      <c r="M96" s="945"/>
      <c r="N96" s="945"/>
      <c r="O96" s="945"/>
      <c r="P96" s="945"/>
      <c r="Q96" s="945"/>
      <c r="R96" s="945"/>
      <c r="S96" s="945"/>
      <c r="T96" s="945"/>
      <c r="U96" s="945"/>
      <c r="V96" s="945"/>
      <c r="W96" s="945"/>
      <c r="X96" s="945"/>
      <c r="Y96" s="945"/>
      <c r="Z96" s="945"/>
      <c r="AA96" s="945"/>
      <c r="AB96" s="945"/>
      <c r="AC96" s="945"/>
      <c r="AD96" s="945"/>
      <c r="AE96" s="945"/>
      <c r="AF96" s="945"/>
      <c r="AG96" s="945"/>
      <c r="AH96" s="945"/>
      <c r="AI96" s="946"/>
      <c r="AJ96" s="338">
        <f t="shared" si="15"/>
        <v>0</v>
      </c>
      <c r="AK96" s="152"/>
      <c r="AL96" s="113"/>
      <c r="AM96" s="89"/>
      <c r="AN96" s="89"/>
      <c r="AO96" s="89"/>
      <c r="AP96" s="89"/>
      <c r="AQ96" s="89"/>
      <c r="AR96" s="89"/>
    </row>
    <row r="97" spans="1:44" x14ac:dyDescent="0.2">
      <c r="A97" s="165"/>
      <c r="B97" s="185"/>
      <c r="C97" s="340" t="str">
        <f>IF(ctArbeitsgebiete!H23&lt;&gt;"",ctArbeitsgebiete!H23,"")</f>
        <v/>
      </c>
      <c r="D97" s="334"/>
      <c r="E97" s="944"/>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6"/>
      <c r="AJ97" s="338">
        <f t="shared" si="15"/>
        <v>0</v>
      </c>
      <c r="AK97" s="152"/>
      <c r="AL97" s="113"/>
      <c r="AM97" s="89"/>
      <c r="AN97" s="89"/>
      <c r="AO97" s="89"/>
      <c r="AP97" s="89"/>
      <c r="AQ97" s="89"/>
      <c r="AR97" s="89"/>
    </row>
    <row r="98" spans="1:44" x14ac:dyDescent="0.2">
      <c r="A98" s="165"/>
      <c r="B98" s="185"/>
      <c r="C98" s="340" t="str">
        <f>IF(ctArbeitsgebiete!H24&lt;&gt;"",ctArbeitsgebiete!H24,"")</f>
        <v/>
      </c>
      <c r="D98" s="334"/>
      <c r="E98" s="944"/>
      <c r="F98" s="945"/>
      <c r="G98" s="945"/>
      <c r="H98" s="945"/>
      <c r="I98" s="945"/>
      <c r="J98" s="945"/>
      <c r="K98" s="945"/>
      <c r="L98" s="945"/>
      <c r="M98" s="945"/>
      <c r="N98" s="945"/>
      <c r="O98" s="945"/>
      <c r="P98" s="945"/>
      <c r="Q98" s="945"/>
      <c r="R98" s="945"/>
      <c r="S98" s="945"/>
      <c r="T98" s="945"/>
      <c r="U98" s="945"/>
      <c r="V98" s="945"/>
      <c r="W98" s="945"/>
      <c r="X98" s="945"/>
      <c r="Y98" s="945"/>
      <c r="Z98" s="945"/>
      <c r="AA98" s="945"/>
      <c r="AB98" s="945"/>
      <c r="AC98" s="945"/>
      <c r="AD98" s="945"/>
      <c r="AE98" s="945"/>
      <c r="AF98" s="945"/>
      <c r="AG98" s="945"/>
      <c r="AH98" s="945"/>
      <c r="AI98" s="946"/>
      <c r="AJ98" s="338">
        <f t="shared" si="15"/>
        <v>0</v>
      </c>
      <c r="AK98" s="152"/>
      <c r="AL98" s="113"/>
      <c r="AM98" s="89"/>
      <c r="AN98" s="89"/>
      <c r="AO98" s="89"/>
      <c r="AP98" s="89"/>
      <c r="AQ98" s="89"/>
      <c r="AR98" s="89"/>
    </row>
    <row r="99" spans="1:44" x14ac:dyDescent="0.2">
      <c r="A99" s="165"/>
      <c r="B99" s="185"/>
      <c r="C99" s="340" t="str">
        <f>IF(ctArbeitsgebiete!H25&lt;&gt;"",ctArbeitsgebiete!H25,"")</f>
        <v/>
      </c>
      <c r="D99" s="334"/>
      <c r="E99" s="944"/>
      <c r="F99" s="945"/>
      <c r="G99" s="945"/>
      <c r="H99" s="945"/>
      <c r="I99" s="945"/>
      <c r="J99" s="945"/>
      <c r="K99" s="945"/>
      <c r="L99" s="945"/>
      <c r="M99" s="945"/>
      <c r="N99" s="945"/>
      <c r="O99" s="945"/>
      <c r="P99" s="945"/>
      <c r="Q99" s="945"/>
      <c r="R99" s="945"/>
      <c r="S99" s="945"/>
      <c r="T99" s="945"/>
      <c r="U99" s="945"/>
      <c r="V99" s="945"/>
      <c r="W99" s="945"/>
      <c r="X99" s="945"/>
      <c r="Y99" s="945"/>
      <c r="Z99" s="945"/>
      <c r="AA99" s="945"/>
      <c r="AB99" s="945"/>
      <c r="AC99" s="945"/>
      <c r="AD99" s="945"/>
      <c r="AE99" s="945"/>
      <c r="AF99" s="945"/>
      <c r="AG99" s="945"/>
      <c r="AH99" s="945"/>
      <c r="AI99" s="946"/>
      <c r="AJ99" s="338">
        <f t="shared" si="15"/>
        <v>0</v>
      </c>
      <c r="AK99" s="152"/>
      <c r="AL99" s="113"/>
      <c r="AM99" s="89"/>
      <c r="AN99" s="89"/>
      <c r="AO99" s="89"/>
      <c r="AP99" s="89"/>
      <c r="AQ99" s="89"/>
      <c r="AR99" s="89"/>
    </row>
    <row r="100" spans="1:44" x14ac:dyDescent="0.2">
      <c r="A100" s="165"/>
      <c r="B100" s="185"/>
      <c r="C100" s="340" t="str">
        <f>IF(ctArbeitsgebiete!H26&lt;&gt;"",ctArbeitsgebiete!H26,"")</f>
        <v/>
      </c>
      <c r="D100" s="334"/>
      <c r="E100" s="944"/>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B100" s="945"/>
      <c r="AC100" s="945"/>
      <c r="AD100" s="945"/>
      <c r="AE100" s="945"/>
      <c r="AF100" s="945"/>
      <c r="AG100" s="945"/>
      <c r="AH100" s="945"/>
      <c r="AI100" s="946"/>
      <c r="AJ100" s="338">
        <f t="shared" si="15"/>
        <v>0</v>
      </c>
      <c r="AK100" s="152"/>
      <c r="AL100" s="113"/>
      <c r="AM100" s="89"/>
      <c r="AN100" s="89"/>
      <c r="AO100" s="89"/>
      <c r="AP100" s="89"/>
      <c r="AQ100" s="89"/>
      <c r="AR100" s="89"/>
    </row>
    <row r="101" spans="1:44" x14ac:dyDescent="0.2">
      <c r="A101" s="165"/>
      <c r="B101" s="185"/>
      <c r="C101" s="345" t="str">
        <f>IF(ctArbeitsgebiete!H27&lt;&gt;"",ctArbeitsgebiete!H27,"")</f>
        <v/>
      </c>
      <c r="D101" s="346"/>
      <c r="E101" s="947"/>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9"/>
      <c r="AJ101" s="347">
        <f t="shared" si="15"/>
        <v>0</v>
      </c>
      <c r="AK101" s="152"/>
      <c r="AL101" s="113"/>
      <c r="AM101" s="89"/>
      <c r="AN101" s="89"/>
      <c r="AO101" s="89"/>
      <c r="AP101" s="89"/>
      <c r="AQ101" s="89"/>
      <c r="AR101" s="89"/>
    </row>
    <row r="102" spans="1:44" x14ac:dyDescent="0.2">
      <c r="A102" s="165"/>
      <c r="B102" s="185"/>
      <c r="C102" s="992" t="str">
        <f>IF(ctArbeitsgebiete!E24&lt;&gt;"",ctArbeitsgebiete!E24,"")</f>
        <v/>
      </c>
      <c r="D102" s="1083"/>
      <c r="E102" s="1084"/>
      <c r="F102" s="1085"/>
      <c r="G102" s="1085"/>
      <c r="H102" s="1085"/>
      <c r="I102" s="1085"/>
      <c r="J102" s="1085"/>
      <c r="K102" s="1085"/>
      <c r="L102" s="1085"/>
      <c r="M102" s="1085"/>
      <c r="N102" s="1085"/>
      <c r="O102" s="1085"/>
      <c r="P102" s="1085"/>
      <c r="Q102" s="1085"/>
      <c r="R102" s="1085"/>
      <c r="S102" s="1085"/>
      <c r="T102" s="1085"/>
      <c r="U102" s="1085"/>
      <c r="V102" s="1085"/>
      <c r="W102" s="1085"/>
      <c r="X102" s="1085"/>
      <c r="Y102" s="1085"/>
      <c r="Z102" s="1085"/>
      <c r="AA102" s="1085"/>
      <c r="AB102" s="1085"/>
      <c r="AC102" s="1085"/>
      <c r="AD102" s="1085"/>
      <c r="AE102" s="1085"/>
      <c r="AF102" s="1085"/>
      <c r="AG102" s="1085"/>
      <c r="AH102" s="1085"/>
      <c r="AI102" s="1086"/>
      <c r="AJ102" s="1087">
        <f t="shared" si="15"/>
        <v>0</v>
      </c>
      <c r="AK102" s="152"/>
      <c r="AL102" s="113"/>
      <c r="AM102" s="89"/>
      <c r="AN102" s="89"/>
      <c r="AO102" s="89"/>
      <c r="AP102" s="89"/>
      <c r="AQ102" s="89"/>
      <c r="AR102" s="89"/>
    </row>
    <row r="103" spans="1:44" x14ac:dyDescent="0.2">
      <c r="A103" s="165"/>
      <c r="B103" s="185"/>
      <c r="C103" s="342" t="str">
        <f>IF(ctArbeitsgebiete!E25&lt;&gt;"",ctArbeitsgebiete!E25,"")</f>
        <v/>
      </c>
      <c r="D103" s="341"/>
      <c r="E103" s="944"/>
      <c r="F103" s="945"/>
      <c r="G103" s="945"/>
      <c r="H103" s="945"/>
      <c r="I103" s="945"/>
      <c r="J103" s="945"/>
      <c r="K103" s="945"/>
      <c r="L103" s="945"/>
      <c r="M103" s="945"/>
      <c r="N103" s="945"/>
      <c r="O103" s="945"/>
      <c r="P103" s="945"/>
      <c r="Q103" s="945"/>
      <c r="R103" s="945"/>
      <c r="S103" s="945"/>
      <c r="T103" s="945"/>
      <c r="U103" s="945"/>
      <c r="V103" s="945"/>
      <c r="W103" s="945"/>
      <c r="X103" s="945"/>
      <c r="Y103" s="945"/>
      <c r="Z103" s="945"/>
      <c r="AA103" s="945"/>
      <c r="AB103" s="945"/>
      <c r="AC103" s="945"/>
      <c r="AD103" s="945"/>
      <c r="AE103" s="945"/>
      <c r="AF103" s="945"/>
      <c r="AG103" s="945"/>
      <c r="AH103" s="945"/>
      <c r="AI103" s="946"/>
      <c r="AJ103" s="343">
        <f t="shared" si="15"/>
        <v>0</v>
      </c>
      <c r="AK103" s="152"/>
      <c r="AL103" s="113"/>
      <c r="AM103" s="89"/>
      <c r="AN103" s="89"/>
      <c r="AO103" s="89"/>
      <c r="AP103" s="89"/>
      <c r="AQ103" s="89"/>
      <c r="AR103" s="89"/>
    </row>
    <row r="104" spans="1:44" x14ac:dyDescent="0.2">
      <c r="A104" s="165"/>
      <c r="B104" s="185"/>
      <c r="C104" s="342" t="str">
        <f>IF(ctArbeitsgebiete!E26&lt;&gt;"",ctArbeitsgebiete!E26,"")</f>
        <v/>
      </c>
      <c r="D104" s="341"/>
      <c r="E104" s="944"/>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B104" s="945"/>
      <c r="AC104" s="945"/>
      <c r="AD104" s="945"/>
      <c r="AE104" s="945"/>
      <c r="AF104" s="945"/>
      <c r="AG104" s="945"/>
      <c r="AH104" s="945"/>
      <c r="AI104" s="946"/>
      <c r="AJ104" s="343">
        <f t="shared" si="15"/>
        <v>0</v>
      </c>
      <c r="AK104" s="152"/>
      <c r="AL104" s="113"/>
      <c r="AM104" s="89"/>
      <c r="AN104" s="89"/>
      <c r="AO104" s="89"/>
      <c r="AP104" s="89"/>
      <c r="AQ104" s="89"/>
      <c r="AR104" s="89"/>
    </row>
    <row r="105" spans="1:44" ht="13.5" thickBot="1" x14ac:dyDescent="0.25">
      <c r="A105" s="165"/>
      <c r="B105" s="185"/>
      <c r="C105" s="342" t="str">
        <f>IF(ctArbeitsgebiete!E27&lt;&gt;"",ctArbeitsgebiete!E27,"")</f>
        <v/>
      </c>
      <c r="D105" s="341"/>
      <c r="E105" s="950"/>
      <c r="F105" s="951"/>
      <c r="G105" s="951"/>
      <c r="H105" s="951"/>
      <c r="I105" s="951"/>
      <c r="J105" s="951"/>
      <c r="K105" s="951"/>
      <c r="L105" s="951"/>
      <c r="M105" s="951"/>
      <c r="N105" s="951"/>
      <c r="O105" s="951"/>
      <c r="P105" s="951"/>
      <c r="Q105" s="951"/>
      <c r="R105" s="951"/>
      <c r="S105" s="951"/>
      <c r="T105" s="951"/>
      <c r="U105" s="951"/>
      <c r="V105" s="951"/>
      <c r="W105" s="951"/>
      <c r="X105" s="951"/>
      <c r="Y105" s="951"/>
      <c r="Z105" s="951"/>
      <c r="AA105" s="951"/>
      <c r="AB105" s="951"/>
      <c r="AC105" s="951"/>
      <c r="AD105" s="951"/>
      <c r="AE105" s="951"/>
      <c r="AF105" s="951"/>
      <c r="AG105" s="951"/>
      <c r="AH105" s="951"/>
      <c r="AI105" s="952"/>
      <c r="AJ105" s="344">
        <f t="shared" si="15"/>
        <v>0</v>
      </c>
      <c r="AK105" s="152"/>
      <c r="AL105" s="113"/>
      <c r="AM105" s="89"/>
      <c r="AN105" s="89"/>
      <c r="AO105" s="89"/>
      <c r="AP105" s="89"/>
      <c r="AQ105" s="89"/>
      <c r="AR105" s="89"/>
    </row>
    <row r="106" spans="1:44" s="218" customFormat="1" ht="63.75" collapsed="1" x14ac:dyDescent="0.2">
      <c r="C106" s="219" t="s">
        <v>444</v>
      </c>
      <c r="D106" s="220"/>
      <c r="E106" s="335"/>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6"/>
      <c r="AF106" s="336"/>
      <c r="AG106" s="336"/>
      <c r="AH106" s="336"/>
      <c r="AI106" s="337"/>
      <c r="AJ106" s="339">
        <f>SUM(E106:AI106)</f>
        <v>0</v>
      </c>
      <c r="AL106" s="222"/>
    </row>
  </sheetData>
  <sheetProtection algorithmName="SHA-512" hashValue="xauVSjYGRy9r2vsxX1Pzpnehm659jJU8owW8xLGfhS2dnM8jxDjLFxSgpjjW0LGO9BkD7VGlR9djyVOGQRGRPg==" saltValue="dcTfwa69wnzQeeWUICALIg==" spinCount="100000" sheet="1" selectLockedCells="1"/>
  <mergeCells count="1">
    <mergeCell ref="D3:D4"/>
  </mergeCells>
  <phoneticPr fontId="9" type="noConversion"/>
  <conditionalFormatting sqref="E3:AH4">
    <cfRule type="expression" dxfId="52" priority="102" stopIfTrue="1">
      <formula>WEEKDAY(E$3,2)=7</formula>
    </cfRule>
  </conditionalFormatting>
  <conditionalFormatting sqref="E7:AH7">
    <cfRule type="expression" dxfId="51" priority="1" stopIfTrue="1">
      <formula>WEEKDAY(E$3,2)=6</formula>
    </cfRule>
    <cfRule type="expression" dxfId="50" priority="2" stopIfTrue="1">
      <formula>WEEKDAY(E$3,2)=7</formula>
    </cfRule>
  </conditionalFormatting>
  <conditionalFormatting sqref="E8:AH8 E10:AH10 E12:AH12">
    <cfRule type="expression" dxfId="49" priority="99" stopIfTrue="1">
      <formula>WEEKDAY(E$3,2)=6</formula>
    </cfRule>
    <cfRule type="expression" dxfId="48" priority="100" stopIfTrue="1">
      <formula>WEEKDAY(E$3,2)=7</formula>
    </cfRule>
  </conditionalFormatting>
  <conditionalFormatting sqref="E9:AH9 E11:AH11">
    <cfRule type="expression" dxfId="47" priority="97" stopIfTrue="1">
      <formula>WEEKDAY(E$3,2)=6</formula>
    </cfRule>
    <cfRule type="expression" dxfId="46" priority="98" stopIfTrue="1">
      <formula>WEEKDAY(E$3,2)=7</formula>
    </cfRule>
  </conditionalFormatting>
  <conditionalFormatting sqref="E3:AI4">
    <cfRule type="expression" dxfId="45" priority="101" stopIfTrue="1">
      <formula>WEEKDAY(E$3,2)=6</formula>
    </cfRule>
  </conditionalFormatting>
  <conditionalFormatting sqref="E13:AI18">
    <cfRule type="expression" dxfId="44" priority="103" stopIfTrue="1">
      <formula>WEEKDAY(E$3,2)=6</formula>
    </cfRule>
    <cfRule type="expression" dxfId="43" priority="104" stopIfTrue="1">
      <formula>WEEKDAY(E$3,2)=7</formula>
    </cfRule>
  </conditionalFormatting>
  <conditionalFormatting sqref="E19:AI19">
    <cfRule type="expression" dxfId="42" priority="105" stopIfTrue="1">
      <formula>WEEKDAY(E$3,2)=6</formula>
    </cfRule>
    <cfRule type="expression" dxfId="41" priority="106" stopIfTrue="1">
      <formula>WEEKDAY(E$3,2)=7</formula>
    </cfRule>
  </conditionalFormatting>
  <conditionalFormatting sqref="E20:AI20 E39:AI39">
    <cfRule type="expression" dxfId="40" priority="93" stopIfTrue="1">
      <formula>WEEKDAY(E$3,2)=6</formula>
    </cfRule>
    <cfRule type="expression" dxfId="39" priority="94" stopIfTrue="1">
      <formula>WEEKDAY(E$3,2)=7</formula>
    </cfRule>
  </conditionalFormatting>
  <conditionalFormatting sqref="E21:AI21 E33:AI38">
    <cfRule type="expression" dxfId="38" priority="91" stopIfTrue="1">
      <formula>WEEKDAY(E$3,2)=6</formula>
    </cfRule>
    <cfRule type="expression" dxfId="37" priority="92" stopIfTrue="1">
      <formula>WEEKDAY(E$3,2)=7</formula>
    </cfRule>
  </conditionalFormatting>
  <conditionalFormatting sqref="E22:AI32 E41:AI85 E94:AI106">
    <cfRule type="expression" dxfId="36" priority="95" stopIfTrue="1">
      <formula>WEEKDAY(E$3,2)=6</formula>
    </cfRule>
    <cfRule type="expression" dxfId="35" priority="96" stopIfTrue="1">
      <formula>WEEKDAY(E$3,2)=7</formula>
    </cfRule>
  </conditionalFormatting>
  <conditionalFormatting sqref="E40:AI40">
    <cfRule type="cellIs" dxfId="34" priority="107" stopIfTrue="1" operator="notEqual">
      <formula>0</formula>
    </cfRule>
    <cfRule type="expression" dxfId="33" priority="108" stopIfTrue="1">
      <formula>WEEKDAY(E$3,2)=6</formula>
    </cfRule>
    <cfRule type="expression" dxfId="32" priority="109" stopIfTrue="1">
      <formula>WEEKDAY(E$3,2)=7</formula>
    </cfRule>
  </conditionalFormatting>
  <conditionalFormatting sqref="AI3:AI4">
    <cfRule type="expression" dxfId="31" priority="113" stopIfTrue="1">
      <formula>WEEKDAY(AI$3,2)=7</formula>
    </cfRule>
  </conditionalFormatting>
  <conditionalFormatting sqref="AI7:AI12">
    <cfRule type="expression" dxfId="30" priority="110" stopIfTrue="1">
      <formula>WEEKDAY(AI$3,2)=6</formula>
    </cfRule>
    <cfRule type="expression" dxfId="29" priority="111" stopIfTrue="1">
      <formula>WEEKDAY(AI$3,2)=7</formula>
    </cfRule>
  </conditionalFormatting>
  <printOptions horizontalCentered="1" verticalCentered="1"/>
  <pageMargins left="0.19685039370078741" right="0.19685039370078741" top="0.39370078740157483" bottom="0.19685039370078741" header="0.31496062992125984" footer="0.19685039370078741"/>
  <pageSetup paperSize="9" scale="53" orientation="landscape"/>
  <headerFooter>
    <oddHeader>&amp;C&amp;12Monatsabrechnung   &amp;A</oddHead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4">
    <pageSetUpPr fitToPage="1"/>
  </sheetPr>
  <dimension ref="A1:AT106"/>
  <sheetViews>
    <sheetView showGridLines="0" showRowColHeaders="0" showZeros="0" showOutlineSymbols="0" topLeftCell="C2" zoomScale="90" zoomScaleNormal="90" workbookViewId="0">
      <pane xSplit="2" ySplit="39" topLeftCell="E41" activePane="bottomRight" state="frozen"/>
      <selection pane="topRight"/>
      <selection pane="bottomLeft"/>
      <selection pane="bottomRight" activeCell="E7" sqref="E7"/>
    </sheetView>
  </sheetViews>
  <sheetFormatPr baseColWidth="10" defaultColWidth="11.42578125" defaultRowHeight="12.75" outlineLevelRow="2" outlineLevelCol="1" x14ac:dyDescent="0.2"/>
  <cols>
    <col min="1" max="1" width="11.42578125" style="8" hidden="1" customWidth="1" outlineLevel="1"/>
    <col min="2" max="2" width="8.42578125" style="13" hidden="1" customWidth="1" outlineLevel="1"/>
    <col min="3" max="3" width="22.42578125" style="87" customWidth="1" collapsed="1"/>
    <col min="4" max="4" width="7.85546875" style="13" customWidth="1"/>
    <col min="5" max="35" width="7.42578125" style="13" customWidth="1"/>
    <col min="36" max="36" width="7.42578125" style="209" customWidth="1"/>
    <col min="37" max="37" width="7.7109375" style="13" hidden="1" customWidth="1" outlineLevel="1"/>
    <col min="38" max="38" width="15.7109375" style="182" hidden="1" customWidth="1" outlineLevel="1"/>
    <col min="39" max="40" width="11.42578125" style="8" hidden="1" customWidth="1" outlineLevel="1"/>
    <col min="41" max="41" width="26.7109375" style="8" hidden="1" customWidth="1" outlineLevel="1"/>
    <col min="42" max="44" width="11.42578125" style="8" hidden="1" customWidth="1" outlineLevel="1"/>
    <col min="45" max="45" width="11.42578125" style="8" collapsed="1"/>
    <col min="46" max="16384" width="11.42578125" style="8"/>
  </cols>
  <sheetData>
    <row r="1" spans="2:46" ht="12.75" hidden="1" customHeight="1" outlineLevel="1" thickBot="1" x14ac:dyDescent="0.25">
      <c r="AF1" s="8"/>
      <c r="AJ1" s="88"/>
      <c r="AK1" s="89"/>
      <c r="AL1" s="90" t="s">
        <v>406</v>
      </c>
      <c r="AM1" s="91" t="s">
        <v>407</v>
      </c>
      <c r="AN1" s="89"/>
      <c r="AO1" s="89"/>
      <c r="AP1" s="89"/>
      <c r="AQ1" s="89"/>
      <c r="AR1" s="89"/>
    </row>
    <row r="2" spans="2:46" ht="30" customHeight="1" collapsed="1" thickBot="1" x14ac:dyDescent="0.25">
      <c r="C2" s="92">
        <f>DATEVALUE("1.12."&amp;YEAR(ctPersonalangaben!H12))</f>
        <v>44895</v>
      </c>
      <c r="D2" s="93">
        <f>YEAR(ctPersonalangaben!H12)</f>
        <v>2026</v>
      </c>
      <c r="E2" s="99" t="str">
        <f>CONCATENATE("Arbeitszeit-Eingabe von ",Mitarbeiter)</f>
        <v>Arbeitszeit-Eingabe von Max Muster, Musterstelle</v>
      </c>
      <c r="F2" s="6"/>
      <c r="G2" s="6"/>
      <c r="H2" s="6"/>
      <c r="I2" s="94"/>
      <c r="J2" s="6"/>
      <c r="K2" s="6"/>
      <c r="L2" s="6"/>
      <c r="M2" s="6"/>
      <c r="N2" s="6"/>
      <c r="O2" s="6"/>
      <c r="P2" s="6"/>
      <c r="Q2" s="6"/>
      <c r="R2" s="6"/>
      <c r="S2" s="95"/>
      <c r="T2" s="96"/>
      <c r="U2" s="96"/>
      <c r="V2" s="97"/>
      <c r="W2" s="97"/>
      <c r="X2" s="97"/>
      <c r="Y2" s="97"/>
      <c r="Z2" s="97"/>
      <c r="AA2" s="97"/>
      <c r="AB2" s="97"/>
      <c r="AC2" s="97"/>
      <c r="AD2" s="98"/>
      <c r="AE2" s="97"/>
      <c r="AF2" s="99"/>
      <c r="AG2" s="100" t="s">
        <v>408</v>
      </c>
      <c r="AH2" s="99">
        <f>VLOOKUP(DATE($D$2,MONTH($C$2),$E$4),Ferienanspruch,3,TRUE)</f>
        <v>100</v>
      </c>
      <c r="AI2" s="101" t="s">
        <v>106</v>
      </c>
      <c r="AJ2" s="88"/>
      <c r="AK2" s="102"/>
      <c r="AL2" s="91"/>
      <c r="AM2" s="91" t="s">
        <v>409</v>
      </c>
      <c r="AN2" s="89"/>
      <c r="AO2" s="89"/>
      <c r="AP2" s="89"/>
      <c r="AQ2" s="89"/>
      <c r="AR2" s="89"/>
    </row>
    <row r="3" spans="2:46" x14ac:dyDescent="0.2">
      <c r="C3" s="7"/>
      <c r="D3" s="1254" t="s">
        <v>254</v>
      </c>
      <c r="E3" s="226">
        <f t="shared" ref="E3:AF3" si="0">DATE($D$2,MONTH($C$2),E$4)</f>
        <v>44895</v>
      </c>
      <c r="F3" s="103">
        <f t="shared" si="0"/>
        <v>44896</v>
      </c>
      <c r="G3" s="103">
        <f t="shared" si="0"/>
        <v>44897</v>
      </c>
      <c r="H3" s="103">
        <f t="shared" si="0"/>
        <v>44898</v>
      </c>
      <c r="I3" s="226">
        <f t="shared" si="0"/>
        <v>44899</v>
      </c>
      <c r="J3" s="103">
        <f t="shared" si="0"/>
        <v>44900</v>
      </c>
      <c r="K3" s="103">
        <f t="shared" si="0"/>
        <v>44901</v>
      </c>
      <c r="L3" s="103">
        <f t="shared" si="0"/>
        <v>44902</v>
      </c>
      <c r="M3" s="103">
        <f t="shared" si="0"/>
        <v>44903</v>
      </c>
      <c r="N3" s="103">
        <f t="shared" si="0"/>
        <v>44904</v>
      </c>
      <c r="O3" s="103">
        <f t="shared" si="0"/>
        <v>44905</v>
      </c>
      <c r="P3" s="103">
        <f t="shared" si="0"/>
        <v>44906</v>
      </c>
      <c r="Q3" s="103">
        <f t="shared" si="0"/>
        <v>44907</v>
      </c>
      <c r="R3" s="103">
        <f t="shared" si="0"/>
        <v>44908</v>
      </c>
      <c r="S3" s="103">
        <f t="shared" si="0"/>
        <v>44909</v>
      </c>
      <c r="T3" s="103">
        <f t="shared" si="0"/>
        <v>44910</v>
      </c>
      <c r="U3" s="103">
        <f t="shared" si="0"/>
        <v>44911</v>
      </c>
      <c r="V3" s="103">
        <f t="shared" si="0"/>
        <v>44912</v>
      </c>
      <c r="W3" s="103">
        <f t="shared" si="0"/>
        <v>44913</v>
      </c>
      <c r="X3" s="103">
        <f t="shared" si="0"/>
        <v>44914</v>
      </c>
      <c r="Y3" s="103">
        <f t="shared" si="0"/>
        <v>44915</v>
      </c>
      <c r="Z3" s="103">
        <f t="shared" si="0"/>
        <v>44916</v>
      </c>
      <c r="AA3" s="103">
        <f t="shared" si="0"/>
        <v>44917</v>
      </c>
      <c r="AB3" s="103">
        <f t="shared" si="0"/>
        <v>44918</v>
      </c>
      <c r="AC3" s="103">
        <f t="shared" si="0"/>
        <v>44919</v>
      </c>
      <c r="AD3" s="104">
        <f t="shared" si="0"/>
        <v>44920</v>
      </c>
      <c r="AE3" s="104">
        <f t="shared" si="0"/>
        <v>44921</v>
      </c>
      <c r="AF3" s="104">
        <f t="shared" si="0"/>
        <v>44922</v>
      </c>
      <c r="AG3" s="104">
        <f>IF(MONTH($C2+AG$5) = MONTH($C2),DATE($D$2,MONTH($C$2),AG$5+1),"")</f>
        <v>44923</v>
      </c>
      <c r="AH3" s="104">
        <f>IF(MONTH($C2+AH$5) = MONTH($C2),DATE($D$2,MONTH($C$2),AH$5+1),"")</f>
        <v>44924</v>
      </c>
      <c r="AI3" s="105">
        <f>IF(MONTH($C2+AI$5) = MONTH($C2),DATE($D$2,MONTH($C$2),AI$5+1),"")</f>
        <v>44925</v>
      </c>
      <c r="AJ3" s="88"/>
      <c r="AK3" s="106"/>
      <c r="AL3" s="91"/>
      <c r="AM3" s="91"/>
      <c r="AN3" s="89"/>
      <c r="AO3" s="89"/>
      <c r="AP3" s="89"/>
      <c r="AQ3" s="89"/>
      <c r="AR3" s="89"/>
    </row>
    <row r="4" spans="2:46" ht="19.5" customHeight="1" x14ac:dyDescent="0.2">
      <c r="C4" s="13"/>
      <c r="D4" s="1255"/>
      <c r="E4" s="227">
        <v>1</v>
      </c>
      <c r="F4" s="107">
        <v>2</v>
      </c>
      <c r="G4" s="107">
        <v>3</v>
      </c>
      <c r="H4" s="107">
        <v>4</v>
      </c>
      <c r="I4" s="227">
        <v>5</v>
      </c>
      <c r="J4" s="107">
        <v>6</v>
      </c>
      <c r="K4" s="107">
        <v>7</v>
      </c>
      <c r="L4" s="107">
        <v>8</v>
      </c>
      <c r="M4" s="107">
        <v>9</v>
      </c>
      <c r="N4" s="107">
        <v>10</v>
      </c>
      <c r="O4" s="107">
        <v>11</v>
      </c>
      <c r="P4" s="107">
        <v>12</v>
      </c>
      <c r="Q4" s="107">
        <v>13</v>
      </c>
      <c r="R4" s="107">
        <v>14</v>
      </c>
      <c r="S4" s="107">
        <v>15</v>
      </c>
      <c r="T4" s="107">
        <v>16</v>
      </c>
      <c r="U4" s="107">
        <v>17</v>
      </c>
      <c r="V4" s="107">
        <v>18</v>
      </c>
      <c r="W4" s="107">
        <v>19</v>
      </c>
      <c r="X4" s="107">
        <v>20</v>
      </c>
      <c r="Y4" s="107">
        <v>21</v>
      </c>
      <c r="Z4" s="107">
        <v>22</v>
      </c>
      <c r="AA4" s="107">
        <v>23</v>
      </c>
      <c r="AB4" s="107">
        <v>24</v>
      </c>
      <c r="AC4" s="107">
        <v>25</v>
      </c>
      <c r="AD4" s="107">
        <v>26</v>
      </c>
      <c r="AE4" s="107">
        <v>27</v>
      </c>
      <c r="AF4" s="107">
        <v>28</v>
      </c>
      <c r="AG4" s="107">
        <f>IF(MONTH($C2+AG5) = MONTH($C2),AG$5+1,"")</f>
        <v>29</v>
      </c>
      <c r="AH4" s="107">
        <f>IF(MONTH($C2+AH5) = MONTH($C2),AH$5+1,"")</f>
        <v>30</v>
      </c>
      <c r="AI4" s="108">
        <f>IF(MONTH($C2+AI5) = MONTH($C2),AI$5+1,"")</f>
        <v>31</v>
      </c>
      <c r="AJ4" s="88"/>
      <c r="AK4" s="106"/>
      <c r="AL4" s="91"/>
      <c r="AM4" s="91"/>
      <c r="AN4" s="89"/>
      <c r="AO4" s="89"/>
      <c r="AP4" s="89"/>
      <c r="AQ4" s="89"/>
      <c r="AR4" s="89"/>
    </row>
    <row r="5" spans="2:46" ht="19.5" hidden="1" customHeight="1" outlineLevel="1" x14ac:dyDescent="0.2">
      <c r="C5" s="13"/>
      <c r="D5" s="109"/>
      <c r="E5" s="110"/>
      <c r="F5" s="110">
        <v>1</v>
      </c>
      <c r="G5" s="110">
        <v>2</v>
      </c>
      <c r="H5" s="228">
        <v>3</v>
      </c>
      <c r="I5" s="110">
        <v>4</v>
      </c>
      <c r="J5" s="110">
        <v>5</v>
      </c>
      <c r="K5" s="110">
        <v>6</v>
      </c>
      <c r="L5" s="110">
        <v>7</v>
      </c>
      <c r="M5" s="110">
        <v>8</v>
      </c>
      <c r="N5" s="110">
        <v>9</v>
      </c>
      <c r="O5" s="110">
        <v>10</v>
      </c>
      <c r="P5" s="110">
        <v>11</v>
      </c>
      <c r="Q5" s="110">
        <v>12</v>
      </c>
      <c r="R5" s="110">
        <v>13</v>
      </c>
      <c r="S5" s="110">
        <v>14</v>
      </c>
      <c r="T5" s="110">
        <v>15</v>
      </c>
      <c r="U5" s="110">
        <v>16</v>
      </c>
      <c r="V5" s="110">
        <v>17</v>
      </c>
      <c r="W5" s="110">
        <v>18</v>
      </c>
      <c r="X5" s="110">
        <v>19</v>
      </c>
      <c r="Y5" s="110">
        <v>20</v>
      </c>
      <c r="Z5" s="110">
        <v>21</v>
      </c>
      <c r="AA5" s="110">
        <v>22</v>
      </c>
      <c r="AB5" s="110">
        <v>23</v>
      </c>
      <c r="AC5" s="110">
        <v>24</v>
      </c>
      <c r="AD5" s="110">
        <v>25</v>
      </c>
      <c r="AE5" s="110">
        <v>26</v>
      </c>
      <c r="AF5" s="110">
        <v>27</v>
      </c>
      <c r="AG5" s="110">
        <v>28</v>
      </c>
      <c r="AH5" s="110">
        <v>29</v>
      </c>
      <c r="AI5" s="111">
        <v>30</v>
      </c>
      <c r="AJ5" s="88"/>
      <c r="AK5" s="102"/>
      <c r="AL5" s="91"/>
      <c r="AM5" s="91"/>
      <c r="AN5" s="89"/>
      <c r="AO5" s="89"/>
      <c r="AP5" s="89"/>
      <c r="AQ5" s="89"/>
      <c r="AR5" s="89"/>
    </row>
    <row r="6" spans="2:46" ht="19.5" hidden="1" customHeight="1" outlineLevel="1" x14ac:dyDescent="0.2">
      <c r="C6" s="13"/>
      <c r="D6" s="109"/>
      <c r="E6" s="288">
        <f>WEEKDAY(E$3,2)</f>
        <v>2</v>
      </c>
      <c r="F6" s="288">
        <f t="shared" ref="F6:AF6" si="1">WEEKDAY(F$3,2)</f>
        <v>3</v>
      </c>
      <c r="G6" s="288">
        <f t="shared" si="1"/>
        <v>4</v>
      </c>
      <c r="H6" s="898">
        <f t="shared" si="1"/>
        <v>5</v>
      </c>
      <c r="I6" s="288">
        <f t="shared" si="1"/>
        <v>6</v>
      </c>
      <c r="J6" s="288">
        <f t="shared" si="1"/>
        <v>7</v>
      </c>
      <c r="K6" s="288">
        <f t="shared" si="1"/>
        <v>1</v>
      </c>
      <c r="L6" s="288">
        <f t="shared" si="1"/>
        <v>2</v>
      </c>
      <c r="M6" s="288">
        <f t="shared" si="1"/>
        <v>3</v>
      </c>
      <c r="N6" s="288">
        <f t="shared" si="1"/>
        <v>4</v>
      </c>
      <c r="O6" s="288">
        <f t="shared" si="1"/>
        <v>5</v>
      </c>
      <c r="P6" s="288">
        <f t="shared" si="1"/>
        <v>6</v>
      </c>
      <c r="Q6" s="288">
        <f t="shared" si="1"/>
        <v>7</v>
      </c>
      <c r="R6" s="288">
        <f t="shared" si="1"/>
        <v>1</v>
      </c>
      <c r="S6" s="288">
        <f t="shared" si="1"/>
        <v>2</v>
      </c>
      <c r="T6" s="288">
        <f t="shared" si="1"/>
        <v>3</v>
      </c>
      <c r="U6" s="288">
        <f t="shared" si="1"/>
        <v>4</v>
      </c>
      <c r="V6" s="288">
        <f t="shared" si="1"/>
        <v>5</v>
      </c>
      <c r="W6" s="288">
        <f t="shared" si="1"/>
        <v>6</v>
      </c>
      <c r="X6" s="288">
        <f t="shared" si="1"/>
        <v>7</v>
      </c>
      <c r="Y6" s="288">
        <f t="shared" si="1"/>
        <v>1</v>
      </c>
      <c r="Z6" s="288">
        <f t="shared" si="1"/>
        <v>2</v>
      </c>
      <c r="AA6" s="288">
        <f t="shared" si="1"/>
        <v>3</v>
      </c>
      <c r="AB6" s="288">
        <f t="shared" si="1"/>
        <v>4</v>
      </c>
      <c r="AC6" s="288">
        <f t="shared" si="1"/>
        <v>5</v>
      </c>
      <c r="AD6" s="288">
        <f t="shared" si="1"/>
        <v>6</v>
      </c>
      <c r="AE6" s="288">
        <f t="shared" si="1"/>
        <v>7</v>
      </c>
      <c r="AF6" s="288">
        <f t="shared" si="1"/>
        <v>1</v>
      </c>
      <c r="AG6" s="288">
        <f>IF(AG3&lt;&gt;"",WEEKDAY(AG$3,2),"")</f>
        <v>2</v>
      </c>
      <c r="AH6" s="288"/>
      <c r="AI6" s="899"/>
      <c r="AJ6" s="88"/>
      <c r="AK6" s="102"/>
      <c r="AL6" s="91"/>
      <c r="AM6" s="91"/>
      <c r="AN6" s="89"/>
      <c r="AO6" s="89"/>
      <c r="AP6" s="89"/>
      <c r="AQ6" s="89"/>
      <c r="AR6" s="89"/>
    </row>
    <row r="7" spans="2:46" ht="22.5" customHeight="1" collapsed="1" x14ac:dyDescent="0.2">
      <c r="C7" s="8"/>
      <c r="D7" s="112" t="str">
        <f>Januar!D7</f>
        <v>Beginn</v>
      </c>
      <c r="E7" s="1042">
        <v>0</v>
      </c>
      <c r="F7" s="1042">
        <v>0</v>
      </c>
      <c r="G7" s="1042">
        <v>0</v>
      </c>
      <c r="H7" s="1042">
        <v>0</v>
      </c>
      <c r="I7" s="1042">
        <v>0</v>
      </c>
      <c r="J7" s="1042">
        <v>0</v>
      </c>
      <c r="K7" s="1042">
        <v>0</v>
      </c>
      <c r="L7" s="1042">
        <v>0</v>
      </c>
      <c r="M7" s="1042">
        <v>0</v>
      </c>
      <c r="N7" s="1042">
        <v>0</v>
      </c>
      <c r="O7" s="1042">
        <v>0</v>
      </c>
      <c r="P7" s="1042">
        <v>0</v>
      </c>
      <c r="Q7" s="1042">
        <v>0</v>
      </c>
      <c r="R7" s="1042">
        <v>0</v>
      </c>
      <c r="S7" s="1042">
        <v>0</v>
      </c>
      <c r="T7" s="1042">
        <v>0</v>
      </c>
      <c r="U7" s="1042">
        <v>0</v>
      </c>
      <c r="V7" s="1042">
        <v>0</v>
      </c>
      <c r="W7" s="1042">
        <v>0</v>
      </c>
      <c r="X7" s="1042">
        <v>0</v>
      </c>
      <c r="Y7" s="1042">
        <v>0</v>
      </c>
      <c r="Z7" s="1042">
        <v>0</v>
      </c>
      <c r="AA7" s="1042">
        <v>0</v>
      </c>
      <c r="AB7" s="1042">
        <v>0</v>
      </c>
      <c r="AC7" s="1042">
        <v>0</v>
      </c>
      <c r="AD7" s="1042">
        <v>0</v>
      </c>
      <c r="AE7" s="1042">
        <v>0</v>
      </c>
      <c r="AF7" s="1042">
        <v>0</v>
      </c>
      <c r="AG7" s="1042">
        <v>0</v>
      </c>
      <c r="AH7" s="1042">
        <v>0</v>
      </c>
      <c r="AI7" s="1043">
        <v>0</v>
      </c>
      <c r="AJ7" s="88"/>
      <c r="AK7" s="900"/>
      <c r="AL7" s="91"/>
      <c r="AM7" s="91"/>
      <c r="AN7" s="113"/>
      <c r="AO7" s="89"/>
      <c r="AP7" s="89"/>
      <c r="AQ7" s="89"/>
      <c r="AR7" s="89"/>
    </row>
    <row r="8" spans="2:46" ht="22.5" customHeight="1" x14ac:dyDescent="0.2">
      <c r="C8" s="901"/>
      <c r="D8" s="112" t="str">
        <f>Januar!D8</f>
        <v>Ende</v>
      </c>
      <c r="E8" s="235"/>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4"/>
      <c r="AJ8" s="88"/>
      <c r="AK8" s="900"/>
      <c r="AL8" s="91"/>
      <c r="AM8" s="91"/>
      <c r="AN8" s="89"/>
      <c r="AO8" s="89"/>
      <c r="AP8" s="89"/>
      <c r="AQ8" s="89"/>
      <c r="AR8" s="89"/>
    </row>
    <row r="9" spans="2:46" ht="22.5" customHeight="1" x14ac:dyDescent="0.2">
      <c r="C9" s="8"/>
      <c r="D9" s="112" t="str">
        <f>Januar!D9</f>
        <v>Beginn</v>
      </c>
      <c r="E9" s="1041"/>
      <c r="F9" s="1042"/>
      <c r="G9" s="1042"/>
      <c r="H9" s="1042"/>
      <c r="I9" s="1042"/>
      <c r="J9" s="1042"/>
      <c r="K9" s="1042"/>
      <c r="L9" s="1042"/>
      <c r="M9" s="1042"/>
      <c r="N9" s="1042"/>
      <c r="O9" s="1042"/>
      <c r="P9" s="1042"/>
      <c r="Q9" s="1042"/>
      <c r="R9" s="1042"/>
      <c r="S9" s="1042"/>
      <c r="T9" s="1042"/>
      <c r="U9" s="1042"/>
      <c r="V9" s="1042"/>
      <c r="W9" s="1042"/>
      <c r="X9" s="1042"/>
      <c r="Y9" s="1042"/>
      <c r="Z9" s="1042"/>
      <c r="AA9" s="1042"/>
      <c r="AB9" s="1042"/>
      <c r="AC9" s="1042"/>
      <c r="AD9" s="1042"/>
      <c r="AE9" s="1042"/>
      <c r="AF9" s="1042"/>
      <c r="AG9" s="1042"/>
      <c r="AH9" s="1042"/>
      <c r="AI9" s="1043"/>
      <c r="AJ9" s="88"/>
      <c r="AK9" s="900"/>
      <c r="AL9" s="91"/>
      <c r="AM9" s="91"/>
      <c r="AN9" s="89"/>
      <c r="AO9" s="89"/>
      <c r="AP9" s="89"/>
      <c r="AQ9" s="89"/>
      <c r="AR9" s="89"/>
    </row>
    <row r="10" spans="2:46" ht="22.5" customHeight="1" x14ac:dyDescent="0.2">
      <c r="C10" s="901"/>
      <c r="D10" s="112" t="str">
        <f>Januar!D10</f>
        <v>Ende</v>
      </c>
      <c r="E10" s="235"/>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4"/>
      <c r="AJ10" s="88"/>
      <c r="AK10" s="900"/>
      <c r="AL10" s="900"/>
      <c r="AM10" s="114"/>
      <c r="AN10" s="114"/>
      <c r="AO10" s="114"/>
      <c r="AP10" s="89"/>
      <c r="AQ10" s="89"/>
      <c r="AR10" s="89"/>
    </row>
    <row r="11" spans="2:46" ht="22.5" customHeight="1" x14ac:dyDescent="0.2">
      <c r="C11" s="8"/>
      <c r="D11" s="112" t="str">
        <f>Januar!D11</f>
        <v>Beginn</v>
      </c>
      <c r="E11" s="1041"/>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3"/>
      <c r="AJ11" s="88"/>
      <c r="AK11" s="115"/>
      <c r="AL11" s="89"/>
      <c r="AM11" s="89"/>
      <c r="AN11" s="89"/>
      <c r="AO11" s="89"/>
      <c r="AP11" s="89"/>
      <c r="AQ11" s="89"/>
      <c r="AR11" s="89"/>
    </row>
    <row r="12" spans="2:46" ht="22.5" customHeight="1" x14ac:dyDescent="0.2">
      <c r="C12" s="116"/>
      <c r="D12" s="112" t="str">
        <f>Januar!D12</f>
        <v>Ende</v>
      </c>
      <c r="E12" s="235"/>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4"/>
      <c r="AJ12" s="88"/>
      <c r="AK12" s="902"/>
      <c r="AL12" s="91" t="s">
        <v>411</v>
      </c>
      <c r="AM12" s="91"/>
      <c r="AN12" s="113"/>
      <c r="AO12" s="89"/>
      <c r="AP12" s="89"/>
      <c r="AQ12" s="89"/>
      <c r="AR12" s="89"/>
    </row>
    <row r="13" spans="2:46" s="123" customFormat="1" x14ac:dyDescent="0.2">
      <c r="B13" s="117"/>
      <c r="C13" s="118" t="str">
        <f>Januar!C13</f>
        <v>Effektive Arbeitszeit</v>
      </c>
      <c r="D13" s="119"/>
      <c r="E13" s="1044">
        <f>IF(COUNT(E7:E12)&gt;0,E12-E11+E10-E9+E8-E7,E39)</f>
        <v>0</v>
      </c>
      <c r="F13" s="1045">
        <f t="shared" ref="F13:AI13" si="2">IF(COUNT(F7:F12)&gt;0,F12-F11+F10-F9+F8-F7,F39)</f>
        <v>0</v>
      </c>
      <c r="G13" s="1045">
        <f t="shared" si="2"/>
        <v>0</v>
      </c>
      <c r="H13" s="1045">
        <f t="shared" si="2"/>
        <v>0</v>
      </c>
      <c r="I13" s="1045">
        <f t="shared" si="2"/>
        <v>0</v>
      </c>
      <c r="J13" s="1045">
        <f t="shared" si="2"/>
        <v>0</v>
      </c>
      <c r="K13" s="1045">
        <f t="shared" si="2"/>
        <v>0</v>
      </c>
      <c r="L13" s="1045">
        <f t="shared" si="2"/>
        <v>0</v>
      </c>
      <c r="M13" s="1045">
        <f t="shared" si="2"/>
        <v>0</v>
      </c>
      <c r="N13" s="1045">
        <f t="shared" si="2"/>
        <v>0</v>
      </c>
      <c r="O13" s="1045">
        <f t="shared" si="2"/>
        <v>0</v>
      </c>
      <c r="P13" s="1045">
        <f t="shared" si="2"/>
        <v>0</v>
      </c>
      <c r="Q13" s="1045">
        <f t="shared" si="2"/>
        <v>0</v>
      </c>
      <c r="R13" s="1045">
        <f t="shared" si="2"/>
        <v>0</v>
      </c>
      <c r="S13" s="1045">
        <f t="shared" si="2"/>
        <v>0</v>
      </c>
      <c r="T13" s="1045">
        <f t="shared" si="2"/>
        <v>0</v>
      </c>
      <c r="U13" s="1045">
        <f t="shared" si="2"/>
        <v>0</v>
      </c>
      <c r="V13" s="1045">
        <f t="shared" si="2"/>
        <v>0</v>
      </c>
      <c r="W13" s="1045">
        <f t="shared" si="2"/>
        <v>0</v>
      </c>
      <c r="X13" s="1045">
        <f t="shared" si="2"/>
        <v>0</v>
      </c>
      <c r="Y13" s="1045">
        <f t="shared" si="2"/>
        <v>0</v>
      </c>
      <c r="Z13" s="1045">
        <f t="shared" si="2"/>
        <v>0</v>
      </c>
      <c r="AA13" s="1045">
        <f t="shared" si="2"/>
        <v>0</v>
      </c>
      <c r="AB13" s="1045">
        <f t="shared" si="2"/>
        <v>0</v>
      </c>
      <c r="AC13" s="1045">
        <f t="shared" si="2"/>
        <v>0</v>
      </c>
      <c r="AD13" s="1045">
        <f t="shared" si="2"/>
        <v>0</v>
      </c>
      <c r="AE13" s="1045">
        <f t="shared" si="2"/>
        <v>0</v>
      </c>
      <c r="AF13" s="1045">
        <f t="shared" si="2"/>
        <v>0</v>
      </c>
      <c r="AG13" s="1045">
        <f t="shared" si="2"/>
        <v>0</v>
      </c>
      <c r="AH13" s="1045">
        <f t="shared" si="2"/>
        <v>0</v>
      </c>
      <c r="AI13" s="1046">
        <f t="shared" si="2"/>
        <v>0</v>
      </c>
      <c r="AJ13" s="1047">
        <f t="shared" ref="AJ13:AJ18" si="3">SUM(E13:AI13)</f>
        <v>0</v>
      </c>
      <c r="AK13" s="120"/>
      <c r="AL13" s="121" t="s">
        <v>413</v>
      </c>
      <c r="AM13" s="121"/>
      <c r="AN13" s="122"/>
      <c r="AS13" s="124"/>
    </row>
    <row r="14" spans="2:46" s="129" customFormat="1" x14ac:dyDescent="0.2">
      <c r="B14" s="117"/>
      <c r="C14" s="118" t="str">
        <f>Januar!C14</f>
        <v>inkl. Basiszeit / Feiertage</v>
      </c>
      <c r="D14" s="125"/>
      <c r="E14" s="126">
        <f>ROUND(SUM(E13,E15,E21,E22,E24:E38),8)</f>
        <v>0</v>
      </c>
      <c r="F14" s="127">
        <f>ROUND(SUM(F13,F15,F21,F22,F24:F38),8)</f>
        <v>0</v>
      </c>
      <c r="G14" s="127">
        <f t="shared" ref="G14:AI14" si="4">ROUND(SUM(G13,G15,G21,G22,G24:G38),8)</f>
        <v>0</v>
      </c>
      <c r="H14" s="127">
        <f t="shared" si="4"/>
        <v>0</v>
      </c>
      <c r="I14" s="127">
        <f t="shared" si="4"/>
        <v>0</v>
      </c>
      <c r="J14" s="127">
        <f t="shared" si="4"/>
        <v>0</v>
      </c>
      <c r="K14" s="127">
        <f t="shared" si="4"/>
        <v>0</v>
      </c>
      <c r="L14" s="127">
        <f t="shared" si="4"/>
        <v>0</v>
      </c>
      <c r="M14" s="127">
        <f t="shared" si="4"/>
        <v>0</v>
      </c>
      <c r="N14" s="127">
        <f t="shared" si="4"/>
        <v>0</v>
      </c>
      <c r="O14" s="127">
        <f t="shared" si="4"/>
        <v>0</v>
      </c>
      <c r="P14" s="127">
        <f t="shared" si="4"/>
        <v>0</v>
      </c>
      <c r="Q14" s="127">
        <f t="shared" si="4"/>
        <v>0</v>
      </c>
      <c r="R14" s="127">
        <f t="shared" si="4"/>
        <v>0</v>
      </c>
      <c r="S14" s="127">
        <f t="shared" si="4"/>
        <v>0</v>
      </c>
      <c r="T14" s="127">
        <f t="shared" si="4"/>
        <v>0</v>
      </c>
      <c r="U14" s="127">
        <f t="shared" si="4"/>
        <v>0</v>
      </c>
      <c r="V14" s="127">
        <f t="shared" si="4"/>
        <v>0</v>
      </c>
      <c r="W14" s="127">
        <f t="shared" si="4"/>
        <v>0</v>
      </c>
      <c r="X14" s="127">
        <f t="shared" si="4"/>
        <v>0</v>
      </c>
      <c r="Y14" s="127">
        <f t="shared" si="4"/>
        <v>0</v>
      </c>
      <c r="Z14" s="127">
        <f t="shared" si="4"/>
        <v>0</v>
      </c>
      <c r="AA14" s="127">
        <f t="shared" si="4"/>
        <v>0</v>
      </c>
      <c r="AB14" s="127">
        <f t="shared" si="4"/>
        <v>0.17499999999999999</v>
      </c>
      <c r="AC14" s="127">
        <f t="shared" si="4"/>
        <v>0.35</v>
      </c>
      <c r="AD14" s="127">
        <f t="shared" si="4"/>
        <v>0</v>
      </c>
      <c r="AE14" s="127">
        <f t="shared" si="4"/>
        <v>0</v>
      </c>
      <c r="AF14" s="127">
        <f t="shared" si="4"/>
        <v>0</v>
      </c>
      <c r="AG14" s="127">
        <f t="shared" si="4"/>
        <v>0</v>
      </c>
      <c r="AH14" s="127">
        <f t="shared" si="4"/>
        <v>0</v>
      </c>
      <c r="AI14" s="127">
        <f t="shared" si="4"/>
        <v>0.17499999999999999</v>
      </c>
      <c r="AJ14" s="128">
        <f t="shared" si="3"/>
        <v>0.7</v>
      </c>
      <c r="AK14" s="1048">
        <f>AJ14-AJ16-IF(Eingabeblatt!D7="NEIN",AJ85,AJ85/1.25)</f>
        <v>-6.6499999999999968</v>
      </c>
      <c r="AL14" s="117" t="s">
        <v>415</v>
      </c>
      <c r="AM14" s="121"/>
      <c r="AN14" s="122"/>
      <c r="AT14" s="123"/>
    </row>
    <row r="15" spans="2:46" s="129" customFormat="1" x14ac:dyDescent="0.2">
      <c r="B15" s="117">
        <f>ctFeierFreitage!K28</f>
        <v>3.3166666666666669</v>
      </c>
      <c r="C15" s="118" t="str">
        <f>Januar!C15</f>
        <v>Feiertagsanspruch</v>
      </c>
      <c r="D15" s="125"/>
      <c r="E15" s="126">
        <f t="shared" ref="E15:AI15" si="5">IF(ISERROR(VLOOKUP(DATE($D$2,MONTH($C$2),E$4),Feiertagsanspruch,9,FALSE)),0,VLOOKUP(DATE($D$2,MONTH($C$2),E$4),Feiertagsanspruch,9,FALSE))</f>
        <v>0</v>
      </c>
      <c r="F15" s="127">
        <f t="shared" si="5"/>
        <v>0</v>
      </c>
      <c r="G15" s="127">
        <f t="shared" si="5"/>
        <v>0</v>
      </c>
      <c r="H15" s="127">
        <f t="shared" si="5"/>
        <v>0</v>
      </c>
      <c r="I15" s="127">
        <f t="shared" si="5"/>
        <v>0</v>
      </c>
      <c r="J15" s="127">
        <f t="shared" si="5"/>
        <v>0</v>
      </c>
      <c r="K15" s="127">
        <f t="shared" si="5"/>
        <v>0</v>
      </c>
      <c r="L15" s="127">
        <f t="shared" si="5"/>
        <v>0</v>
      </c>
      <c r="M15" s="127">
        <f t="shared" si="5"/>
        <v>0</v>
      </c>
      <c r="N15" s="127">
        <f t="shared" si="5"/>
        <v>0</v>
      </c>
      <c r="O15" s="127">
        <f t="shared" si="5"/>
        <v>0</v>
      </c>
      <c r="P15" s="127">
        <f t="shared" si="5"/>
        <v>0</v>
      </c>
      <c r="Q15" s="127">
        <f t="shared" si="5"/>
        <v>0</v>
      </c>
      <c r="R15" s="127">
        <f t="shared" si="5"/>
        <v>0</v>
      </c>
      <c r="S15" s="127">
        <f t="shared" si="5"/>
        <v>0</v>
      </c>
      <c r="T15" s="127">
        <f t="shared" si="5"/>
        <v>0</v>
      </c>
      <c r="U15" s="127">
        <f t="shared" si="5"/>
        <v>0</v>
      </c>
      <c r="V15" s="127">
        <f t="shared" si="5"/>
        <v>0</v>
      </c>
      <c r="W15" s="127">
        <f t="shared" si="5"/>
        <v>0</v>
      </c>
      <c r="X15" s="127">
        <f t="shared" si="5"/>
        <v>0</v>
      </c>
      <c r="Y15" s="127">
        <f t="shared" si="5"/>
        <v>0</v>
      </c>
      <c r="Z15" s="127">
        <f t="shared" si="5"/>
        <v>0</v>
      </c>
      <c r="AA15" s="127">
        <f t="shared" si="5"/>
        <v>0</v>
      </c>
      <c r="AB15" s="127">
        <f t="shared" si="5"/>
        <v>0.17500000000000002</v>
      </c>
      <c r="AC15" s="127">
        <f t="shared" si="5"/>
        <v>0.35000000000000003</v>
      </c>
      <c r="AD15" s="127">
        <f t="shared" si="5"/>
        <v>0</v>
      </c>
      <c r="AE15" s="127">
        <f t="shared" si="5"/>
        <v>0</v>
      </c>
      <c r="AF15" s="127">
        <f t="shared" si="5"/>
        <v>0</v>
      </c>
      <c r="AG15" s="127">
        <f t="shared" si="5"/>
        <v>0</v>
      </c>
      <c r="AH15" s="127">
        <f t="shared" si="5"/>
        <v>0</v>
      </c>
      <c r="AI15" s="127">
        <f t="shared" si="5"/>
        <v>0.17500000000000002</v>
      </c>
      <c r="AJ15" s="128">
        <f t="shared" si="3"/>
        <v>0.70000000000000007</v>
      </c>
      <c r="AK15" s="1048"/>
      <c r="AL15" s="117"/>
      <c r="AM15" s="121"/>
      <c r="AN15" s="122"/>
      <c r="AT15" s="123"/>
    </row>
    <row r="16" spans="2:46" s="123" customFormat="1" hidden="1" outlineLevel="1" x14ac:dyDescent="0.2">
      <c r="B16" s="117"/>
      <c r="C16" s="118" t="str">
        <f>Januar!C16</f>
        <v>SOLL-Arbeitszeit</v>
      </c>
      <c r="D16" s="119"/>
      <c r="E16" s="126">
        <f>IF(ROUND(E17-E15,8)&lt;0,0,ROUND(E17-E15,8))</f>
        <v>0.35</v>
      </c>
      <c r="F16" s="127">
        <f>IF(ROUND(F17-F15,8)&lt;0,0,ROUND(F17-F15,8))</f>
        <v>0.35</v>
      </c>
      <c r="G16" s="127">
        <f t="shared" ref="G16:AI16" si="6">IF(ROUND(G17-G15,8)&lt;0,0,ROUND(G17-G15,8))</f>
        <v>0.35</v>
      </c>
      <c r="H16" s="127">
        <f t="shared" si="6"/>
        <v>0.35</v>
      </c>
      <c r="I16" s="127">
        <f t="shared" si="6"/>
        <v>0</v>
      </c>
      <c r="J16" s="127">
        <f t="shared" si="6"/>
        <v>0</v>
      </c>
      <c r="K16" s="127">
        <f t="shared" si="6"/>
        <v>0.35</v>
      </c>
      <c r="L16" s="127">
        <f t="shared" si="6"/>
        <v>0.35</v>
      </c>
      <c r="M16" s="127">
        <f t="shared" si="6"/>
        <v>0.35</v>
      </c>
      <c r="N16" s="127">
        <f t="shared" si="6"/>
        <v>0.35</v>
      </c>
      <c r="O16" s="127">
        <f t="shared" si="6"/>
        <v>0.35</v>
      </c>
      <c r="P16" s="127">
        <f t="shared" si="6"/>
        <v>0</v>
      </c>
      <c r="Q16" s="127">
        <f t="shared" si="6"/>
        <v>0</v>
      </c>
      <c r="R16" s="127">
        <f t="shared" si="6"/>
        <v>0.35</v>
      </c>
      <c r="S16" s="127">
        <f t="shared" si="6"/>
        <v>0.35</v>
      </c>
      <c r="T16" s="127">
        <f t="shared" si="6"/>
        <v>0.35</v>
      </c>
      <c r="U16" s="127">
        <f t="shared" si="6"/>
        <v>0.35</v>
      </c>
      <c r="V16" s="127">
        <f t="shared" si="6"/>
        <v>0.35</v>
      </c>
      <c r="W16" s="127">
        <f t="shared" si="6"/>
        <v>0</v>
      </c>
      <c r="X16" s="127">
        <f t="shared" si="6"/>
        <v>0</v>
      </c>
      <c r="Y16" s="127">
        <f t="shared" si="6"/>
        <v>0.35</v>
      </c>
      <c r="Z16" s="127">
        <f t="shared" si="6"/>
        <v>0.35</v>
      </c>
      <c r="AA16" s="127">
        <f t="shared" si="6"/>
        <v>0.35</v>
      </c>
      <c r="AB16" s="127">
        <f t="shared" si="6"/>
        <v>0.17499999999999999</v>
      </c>
      <c r="AC16" s="127">
        <f t="shared" si="6"/>
        <v>0</v>
      </c>
      <c r="AD16" s="127">
        <f t="shared" si="6"/>
        <v>0</v>
      </c>
      <c r="AE16" s="127">
        <f t="shared" si="6"/>
        <v>0</v>
      </c>
      <c r="AF16" s="127">
        <f t="shared" si="6"/>
        <v>0.35</v>
      </c>
      <c r="AG16" s="127">
        <f t="shared" si="6"/>
        <v>0.35</v>
      </c>
      <c r="AH16" s="127">
        <f t="shared" si="6"/>
        <v>0.35</v>
      </c>
      <c r="AI16" s="127">
        <f t="shared" si="6"/>
        <v>0.17499999999999999</v>
      </c>
      <c r="AJ16" s="128">
        <f t="shared" si="3"/>
        <v>7.349999999999997</v>
      </c>
      <c r="AK16" s="130"/>
      <c r="AL16" s="121" t="s">
        <v>416</v>
      </c>
      <c r="AM16" s="121"/>
      <c r="AN16" s="122"/>
      <c r="AT16" s="129"/>
    </row>
    <row r="17" spans="1:46" s="123" customFormat="1" collapsed="1" x14ac:dyDescent="0.2">
      <c r="B17" s="117"/>
      <c r="C17" s="118" t="str">
        <f>Januar!C17</f>
        <v>Regelarbeitszeit</v>
      </c>
      <c r="D17" s="119"/>
      <c r="E17" s="126">
        <f>IF(ISERROR(IF(E4&lt;&gt;0,VLOOKUP(DATE($D$2,MONTH($C$2),E$4),Raz,WEEKDAY(DATE($D$2,MONTH($C$2),E$4))+2),0)),0,IF(E4&lt;&gt;0,VLOOKUP(DATE($D$2,MONTH($C$2),E$4),Raz,WEEKDAY(DATE($D$2,MONTH($C$2),E$4))+2),0))</f>
        <v>0.35000000000000003</v>
      </c>
      <c r="F17" s="127">
        <f t="shared" ref="F17:AI17" si="7">IF(ISERROR(IF(F4&lt;&gt;0,VLOOKUP(DATE($D$2,MONTH($C$2),F$4),Raz,WEEKDAY(DATE($D$2,MONTH($C$2),F$4))+2),0)),0,IF(F4&lt;&gt;0,VLOOKUP(DATE($D$2,MONTH($C$2),F$4),Raz,WEEKDAY(DATE($D$2,MONTH($C$2),F$4))+2),0))</f>
        <v>0.35000000000000003</v>
      </c>
      <c r="G17" s="127">
        <f t="shared" si="7"/>
        <v>0.35</v>
      </c>
      <c r="H17" s="127">
        <f t="shared" si="7"/>
        <v>0.35000000000000003</v>
      </c>
      <c r="I17" s="127">
        <f t="shared" si="7"/>
        <v>0</v>
      </c>
      <c r="J17" s="127">
        <f t="shared" si="7"/>
        <v>0</v>
      </c>
      <c r="K17" s="127">
        <f t="shared" si="7"/>
        <v>0.35000000000000003</v>
      </c>
      <c r="L17" s="127">
        <f t="shared" si="7"/>
        <v>0.35000000000000003</v>
      </c>
      <c r="M17" s="127">
        <f t="shared" si="7"/>
        <v>0.35000000000000003</v>
      </c>
      <c r="N17" s="127">
        <f t="shared" si="7"/>
        <v>0.35</v>
      </c>
      <c r="O17" s="127">
        <f t="shared" si="7"/>
        <v>0.35000000000000003</v>
      </c>
      <c r="P17" s="127">
        <f t="shared" si="7"/>
        <v>0</v>
      </c>
      <c r="Q17" s="127">
        <f t="shared" si="7"/>
        <v>0</v>
      </c>
      <c r="R17" s="127">
        <f t="shared" si="7"/>
        <v>0.35000000000000003</v>
      </c>
      <c r="S17" s="127">
        <f t="shared" si="7"/>
        <v>0.35000000000000003</v>
      </c>
      <c r="T17" s="127">
        <f t="shared" si="7"/>
        <v>0.35000000000000003</v>
      </c>
      <c r="U17" s="127">
        <f t="shared" si="7"/>
        <v>0.35</v>
      </c>
      <c r="V17" s="127">
        <f t="shared" si="7"/>
        <v>0.35000000000000003</v>
      </c>
      <c r="W17" s="127">
        <f t="shared" si="7"/>
        <v>0</v>
      </c>
      <c r="X17" s="127">
        <f t="shared" si="7"/>
        <v>0</v>
      </c>
      <c r="Y17" s="127">
        <f t="shared" si="7"/>
        <v>0.35000000000000003</v>
      </c>
      <c r="Z17" s="127">
        <f t="shared" si="7"/>
        <v>0.35000000000000003</v>
      </c>
      <c r="AA17" s="127">
        <f t="shared" si="7"/>
        <v>0.35000000000000003</v>
      </c>
      <c r="AB17" s="127">
        <f t="shared" si="7"/>
        <v>0.35</v>
      </c>
      <c r="AC17" s="127">
        <f t="shared" si="7"/>
        <v>0.35000000000000003</v>
      </c>
      <c r="AD17" s="127">
        <f t="shared" si="7"/>
        <v>0</v>
      </c>
      <c r="AE17" s="127">
        <f t="shared" si="7"/>
        <v>0</v>
      </c>
      <c r="AF17" s="127">
        <f t="shared" si="7"/>
        <v>0.35000000000000003</v>
      </c>
      <c r="AG17" s="127">
        <f t="shared" si="7"/>
        <v>0.35000000000000003</v>
      </c>
      <c r="AH17" s="127">
        <f t="shared" si="7"/>
        <v>0.35000000000000003</v>
      </c>
      <c r="AI17" s="127">
        <f t="shared" si="7"/>
        <v>0.35</v>
      </c>
      <c r="AJ17" s="128">
        <f t="shared" si="3"/>
        <v>8.0499999999999972</v>
      </c>
      <c r="AK17" s="131"/>
      <c r="AL17" s="121"/>
      <c r="AM17" s="121"/>
      <c r="AN17" s="122"/>
    </row>
    <row r="18" spans="1:46" s="123" customFormat="1" x14ac:dyDescent="0.2">
      <c r="B18" s="117"/>
      <c r="C18" s="132" t="str">
        <f>Januar!C18</f>
        <v>Mehr-/Minderleistung</v>
      </c>
      <c r="D18" s="133"/>
      <c r="E18" s="134">
        <f>ROUND(E14-E17,8)</f>
        <v>-0.35</v>
      </c>
      <c r="F18" s="135">
        <f>ROUND(F14-F17,8)</f>
        <v>-0.35</v>
      </c>
      <c r="G18" s="135">
        <f t="shared" ref="G18:AI18" si="8">ROUND(G14-G17,8)</f>
        <v>-0.35</v>
      </c>
      <c r="H18" s="135">
        <f t="shared" si="8"/>
        <v>-0.35</v>
      </c>
      <c r="I18" s="135">
        <f t="shared" si="8"/>
        <v>0</v>
      </c>
      <c r="J18" s="135">
        <f t="shared" si="8"/>
        <v>0</v>
      </c>
      <c r="K18" s="135">
        <f t="shared" si="8"/>
        <v>-0.35</v>
      </c>
      <c r="L18" s="135">
        <f t="shared" si="8"/>
        <v>-0.35</v>
      </c>
      <c r="M18" s="135">
        <f t="shared" si="8"/>
        <v>-0.35</v>
      </c>
      <c r="N18" s="135">
        <f t="shared" si="8"/>
        <v>-0.35</v>
      </c>
      <c r="O18" s="135">
        <f t="shared" si="8"/>
        <v>-0.35</v>
      </c>
      <c r="P18" s="135">
        <f t="shared" si="8"/>
        <v>0</v>
      </c>
      <c r="Q18" s="135">
        <f t="shared" si="8"/>
        <v>0</v>
      </c>
      <c r="R18" s="135">
        <f t="shared" si="8"/>
        <v>-0.35</v>
      </c>
      <c r="S18" s="135">
        <f t="shared" si="8"/>
        <v>-0.35</v>
      </c>
      <c r="T18" s="135">
        <f t="shared" si="8"/>
        <v>-0.35</v>
      </c>
      <c r="U18" s="135">
        <f t="shared" si="8"/>
        <v>-0.35</v>
      </c>
      <c r="V18" s="135">
        <f t="shared" si="8"/>
        <v>-0.35</v>
      </c>
      <c r="W18" s="135">
        <f t="shared" si="8"/>
        <v>0</v>
      </c>
      <c r="X18" s="135">
        <f t="shared" si="8"/>
        <v>0</v>
      </c>
      <c r="Y18" s="135">
        <f t="shared" si="8"/>
        <v>-0.35</v>
      </c>
      <c r="Z18" s="135">
        <f t="shared" si="8"/>
        <v>-0.35</v>
      </c>
      <c r="AA18" s="135">
        <f t="shared" si="8"/>
        <v>-0.35</v>
      </c>
      <c r="AB18" s="135">
        <f t="shared" si="8"/>
        <v>-0.17499999999999999</v>
      </c>
      <c r="AC18" s="135">
        <f t="shared" si="8"/>
        <v>0</v>
      </c>
      <c r="AD18" s="135">
        <f t="shared" si="8"/>
        <v>0</v>
      </c>
      <c r="AE18" s="135">
        <f t="shared" si="8"/>
        <v>0</v>
      </c>
      <c r="AF18" s="135">
        <f t="shared" si="8"/>
        <v>-0.35</v>
      </c>
      <c r="AG18" s="135">
        <f t="shared" si="8"/>
        <v>-0.35</v>
      </c>
      <c r="AH18" s="135">
        <f t="shared" si="8"/>
        <v>-0.35</v>
      </c>
      <c r="AI18" s="135">
        <f t="shared" si="8"/>
        <v>-0.17499999999999999</v>
      </c>
      <c r="AJ18" s="136">
        <f t="shared" si="3"/>
        <v>-7.349999999999997</v>
      </c>
      <c r="AK18" s="137" t="s">
        <v>418</v>
      </c>
      <c r="AL18" s="121" t="s">
        <v>419</v>
      </c>
      <c r="AM18" s="121"/>
      <c r="AN18" s="122"/>
      <c r="AO18" s="122"/>
    </row>
    <row r="19" spans="1:46" s="138" customFormat="1" ht="24" x14ac:dyDescent="0.2">
      <c r="A19" s="781"/>
      <c r="B19" s="139" t="s">
        <v>420</v>
      </c>
      <c r="C19" s="1049" t="str">
        <f>Januar!C19</f>
        <v>Arbeitszeit-Saldo</v>
      </c>
      <c r="D19" s="903">
        <f ca="1">November!AJ19</f>
        <v>0</v>
      </c>
      <c r="E19" s="1050">
        <f ca="1">IF(E4&lt;&gt;"",IF(DATE($D$2,MONTH($C$2),E$4)&lt;=Eingabeblatt!$I$8,IF(OR(AND(E$86="JA",E14&gt;E16),AND(E86="JA",Eingabeblatt!$I$10="NEIN")),D19,D19+E18),IF(D19=0,0,IF(OR(COUNT(E7:E12,E22:E38)&gt;0,AND(COUNT(E7:E12,E22:E38)=0,E16=0)),IF(OR(AND(E$86="JA",E14&gt;E16),AND(E86="JA",Eingabeblatt!$I$10="NEIN")),D19,D19+E18),0))),D19)</f>
        <v>0</v>
      </c>
      <c r="F19" s="1051">
        <f ca="1">IF(F4&lt;&gt;"",IF(DATE($D$2,MONTH($C$2),F$4)&lt;=Eingabeblatt!$I$8,IF(OR(AND(F$86="JA",F14&gt;F16),AND(F86="JA",Eingabeblatt!$I$10="NEIN")),E19,E19+F18),IF(E19=0,0,IF(OR(COUNT(F7:F12,F22:F38)&gt;0,AND(COUNT(F7:F12,F22:F38)=0,F16=0)),IF(OR(AND(F$86="JA",F14&gt;F16),AND(F86="JA",Eingabeblatt!$I$10="NEIN")),E19,E19+F18),0))),E19)</f>
        <v>0</v>
      </c>
      <c r="G19" s="1051">
        <f ca="1">IF(G4&lt;&gt;"",IF(DATE($D$2,MONTH($C$2),G$4)&lt;=Eingabeblatt!$I$8,IF(OR(AND(G$86="JA",G14&gt;G16),AND(G86="JA",Eingabeblatt!$I$10="NEIN")),F19,F19+G18),IF(F19=0,0,IF(OR(COUNT(G7:G12,G22:G38)&gt;0,AND(COUNT(G7:G12,G22:G38)=0,G16=0)),IF(OR(AND(G$86="JA",G14&gt;G16),AND(G86="JA",Eingabeblatt!$I$10="NEIN")),F19,F19+G18),0))),F19)</f>
        <v>0</v>
      </c>
      <c r="H19" s="1051">
        <f ca="1">IF(H4&lt;&gt;"",IF(DATE($D$2,MONTH($C$2),H$4)&lt;=Eingabeblatt!$I$8,IF(OR(AND(H$86="JA",H14&gt;H16),AND(H86="JA",Eingabeblatt!$I$10="NEIN")),G19,G19+H18),IF(G19=0,0,IF(OR(COUNT(H7:H12,H22:H38)&gt;0,AND(COUNT(H7:H12,H22:H38)=0,H16=0)),IF(OR(AND(H$86="JA",H14&gt;H16),AND(H86="JA",Eingabeblatt!$I$10="NEIN")),G19,G19+H18),0))),G19)</f>
        <v>0</v>
      </c>
      <c r="I19" s="1051">
        <f ca="1">IF(I4&lt;&gt;"",IF(DATE($D$2,MONTH($C$2),I$4)&lt;=Eingabeblatt!$I$8,IF(OR(AND(I$86="JA",I14&gt;I16),AND(I86="JA",Eingabeblatt!$I$10="NEIN")),H19,H19+I18),IF(H19=0,0,IF(OR(COUNT(I7:I12,I22:I38)&gt;0,AND(COUNT(I7:I12,I22:I38)=0,I16=0)),IF(OR(AND(I$86="JA",I14&gt;I16),AND(I86="JA",Eingabeblatt!$I$10="NEIN")),H19,H19+I18),0))),H19)</f>
        <v>0</v>
      </c>
      <c r="J19" s="1051">
        <f ca="1">IF(J4&lt;&gt;"",IF(DATE($D$2,MONTH($C$2),J$4)&lt;=Eingabeblatt!$I$8,IF(OR(AND(J$86="JA",J14&gt;J16),AND(J86="JA",Eingabeblatt!$I$10="NEIN")),I19,I19+J18),IF(I19=0,0,IF(OR(COUNT(J7:J12,J22:J38)&gt;0,AND(COUNT(J7:J12,J22:J38)=0,J16=0)),IF(OR(AND(J$86="JA",J14&gt;J16),AND(J86="JA",Eingabeblatt!$I$10="NEIN")),I19,I19+J18),0))),I19)</f>
        <v>0</v>
      </c>
      <c r="K19" s="1051">
        <f ca="1">IF(K4&lt;&gt;"",IF(DATE($D$2,MONTH($C$2),K$4)&lt;=Eingabeblatt!$I$8,IF(OR(AND(K$86="JA",K14&gt;K16),AND(K86="JA",Eingabeblatt!$I$10="NEIN")),J19,J19+K18),IF(J19=0,0,IF(OR(COUNT(K7:K12,K22:K38)&gt;0,AND(COUNT(K7:K12,K22:K38)=0,K16=0)),IF(OR(AND(K$86="JA",K14&gt;K16),AND(K86="JA",Eingabeblatt!$I$10="NEIN")),J19,J19+K18),0))),J19)</f>
        <v>0</v>
      </c>
      <c r="L19" s="1051">
        <f ca="1">IF(L4&lt;&gt;"",IF(DATE($D$2,MONTH($C$2),L$4)&lt;=Eingabeblatt!$I$8,IF(OR(AND(L$86="JA",L14&gt;L16),AND(L86="JA",Eingabeblatt!$I$10="NEIN")),K19,K19+L18),IF(K19=0,0,IF(OR(COUNT(L7:L12,L22:L38)&gt;0,AND(COUNT(L7:L12,L22:L38)=0,L16=0)),IF(OR(AND(L$86="JA",L14&gt;L16),AND(L86="JA",Eingabeblatt!$I$10="NEIN")),K19,K19+L18),0))),K19)</f>
        <v>0</v>
      </c>
      <c r="M19" s="1051">
        <f ca="1">IF(M4&lt;&gt;"",IF(DATE($D$2,MONTH($C$2),M$4)&lt;=Eingabeblatt!$I$8,IF(OR(AND(M$86="JA",M14&gt;M16),AND(M86="JA",Eingabeblatt!$I$10="NEIN")),L19,L19+M18),IF(L19=0,0,IF(OR(COUNT(M7:M12,M22:M38)&gt;0,AND(COUNT(M7:M12,M22:M38)=0,M16=0)),IF(OR(AND(M$86="JA",M14&gt;M16),AND(M86="JA",Eingabeblatt!$I$10="NEIN")),L19,L19+M18),0))),L19)</f>
        <v>0</v>
      </c>
      <c r="N19" s="1051">
        <f ca="1">IF(N4&lt;&gt;"",IF(DATE($D$2,MONTH($C$2),N$4)&lt;=Eingabeblatt!$I$8,IF(OR(AND(N$86="JA",N14&gt;N16),AND(N86="JA",Eingabeblatt!$I$10="NEIN")),M19,M19+N18),IF(M19=0,0,IF(OR(COUNT(N7:N12,N22:N38)&gt;0,AND(COUNT(N7:N12,N22:N38)=0,N16=0)),IF(OR(AND(N$86="JA",N14&gt;N16),AND(N86="JA",Eingabeblatt!$I$10="NEIN")),M19,M19+N18),0))),M19)</f>
        <v>0</v>
      </c>
      <c r="O19" s="1051">
        <f ca="1">IF(O4&lt;&gt;"",IF(DATE($D$2,MONTH($C$2),O$4)&lt;=Eingabeblatt!$I$8,IF(OR(AND(O$86="JA",O14&gt;O16),AND(O86="JA",Eingabeblatt!$I$10="NEIN")),N19,N19+O18),IF(N19=0,0,IF(OR(COUNT(O7:O12,O22:O38)&gt;0,AND(COUNT(O7:O12,O22:O38)=0,O16=0)),IF(OR(AND(O$86="JA",O14&gt;O16),AND(O86="JA",Eingabeblatt!$I$10="NEIN")),N19,N19+O18),0))),N19)</f>
        <v>0</v>
      </c>
      <c r="P19" s="1051">
        <f ca="1">IF(P4&lt;&gt;"",IF(DATE($D$2,MONTH($C$2),P$4)&lt;=Eingabeblatt!$I$8,IF(OR(AND(P$86="JA",P14&gt;P16),AND(P86="JA",Eingabeblatt!$I$10="NEIN")),O19,O19+P18),IF(O19=0,0,IF(OR(COUNT(P7:P12,P22:P38)&gt;0,AND(COUNT(P7:P12,P22:P38)=0,P16=0)),IF(OR(AND(P$86="JA",P14&gt;P16),AND(P86="JA",Eingabeblatt!$I$10="NEIN")),O19,O19+P18),0))),O19)</f>
        <v>0</v>
      </c>
      <c r="Q19" s="1051">
        <f ca="1">IF(Q4&lt;&gt;"",IF(DATE($D$2,MONTH($C$2),Q$4)&lt;=Eingabeblatt!$I$8,IF(OR(AND(Q$86="JA",Q14&gt;Q16),AND(Q86="JA",Eingabeblatt!$I$10="NEIN")),P19,P19+Q18),IF(P19=0,0,IF(OR(COUNT(Q7:Q12,Q22:Q38)&gt;0,AND(COUNT(Q7:Q12,Q22:Q38)=0,Q16=0)),IF(OR(AND(Q$86="JA",Q14&gt;Q16),AND(Q86="JA",Eingabeblatt!$I$10="NEIN")),P19,P19+Q18),0))),P19)</f>
        <v>0</v>
      </c>
      <c r="R19" s="1051">
        <f ca="1">IF(R4&lt;&gt;"",IF(DATE($D$2,MONTH($C$2),R$4)&lt;=Eingabeblatt!$I$8,IF(OR(AND(R$86="JA",R14&gt;R16),AND(R86="JA",Eingabeblatt!$I$10="NEIN")),Q19,Q19+R18),IF(Q19=0,0,IF(OR(COUNT(R7:R12,R22:R38)&gt;0,AND(COUNT(R7:R12,R22:R38)=0,R16=0)),IF(OR(AND(R$86="JA",R14&gt;R16),AND(R86="JA",Eingabeblatt!$I$10="NEIN")),Q19,Q19+R18),0))),Q19)</f>
        <v>0</v>
      </c>
      <c r="S19" s="1051">
        <f ca="1">IF(S4&lt;&gt;"",IF(DATE($D$2,MONTH($C$2),S$4)&lt;=Eingabeblatt!$I$8,IF(OR(AND(S$86="JA",S14&gt;S16),AND(S86="JA",Eingabeblatt!$I$10="NEIN")),R19,R19+S18),IF(R19=0,0,IF(OR(COUNT(S7:S12,S22:S38)&gt;0,AND(COUNT(S7:S12,S22:S38)=0,S16=0)),IF(OR(AND(S$86="JA",S14&gt;S16),AND(S86="JA",Eingabeblatt!$I$10="NEIN")),R19,R19+S18),0))),R19)</f>
        <v>0</v>
      </c>
      <c r="T19" s="1051">
        <f ca="1">IF(T4&lt;&gt;"",IF(DATE($D$2,MONTH($C$2),T$4)&lt;=Eingabeblatt!$I$8,IF(OR(AND(T$86="JA",T14&gt;T16),AND(T86="JA",Eingabeblatt!$I$10="NEIN")),S19,S19+T18),IF(S19=0,0,IF(OR(COUNT(T7:T12,T22:T38)&gt;0,AND(COUNT(T7:T12,T22:T38)=0,T16=0)),IF(OR(AND(T$86="JA",T14&gt;T16),AND(T86="JA",Eingabeblatt!$I$10="NEIN")),S19,S19+T18),0))),S19)</f>
        <v>0</v>
      </c>
      <c r="U19" s="1051">
        <f ca="1">IF(U4&lt;&gt;"",IF(DATE($D$2,MONTH($C$2),U$4)&lt;=Eingabeblatt!$I$8,IF(OR(AND(U$86="JA",U14&gt;U16),AND(U86="JA",Eingabeblatt!$I$10="NEIN")),T19,T19+U18),IF(T19=0,0,IF(OR(COUNT(U7:U12,U22:U38)&gt;0,AND(COUNT(U7:U12,U22:U38)=0,U16=0)),IF(OR(AND(U$86="JA",U14&gt;U16),AND(U86="JA",Eingabeblatt!$I$10="NEIN")),T19,T19+U18),0))),T19)</f>
        <v>0</v>
      </c>
      <c r="V19" s="1051">
        <f ca="1">IF(V4&lt;&gt;"",IF(DATE($D$2,MONTH($C$2),V$4)&lt;=Eingabeblatt!$I$8,IF(OR(AND(V$86="JA",V14&gt;V16),AND(V86="JA",Eingabeblatt!$I$10="NEIN")),U19,U19+V18),IF(U19=0,0,IF(OR(COUNT(V7:V12,V22:V38)&gt;0,AND(COUNT(V7:V12,V22:V38)=0,V16=0)),IF(OR(AND(V$86="JA",V14&gt;V16),AND(V86="JA",Eingabeblatt!$I$10="NEIN")),U19,U19+V18),0))),U19)</f>
        <v>0</v>
      </c>
      <c r="W19" s="1051">
        <f ca="1">IF(W4&lt;&gt;"",IF(DATE($D$2,MONTH($C$2),W$4)&lt;=Eingabeblatt!$I$8,IF(OR(AND(W$86="JA",W14&gt;W16),AND(W86="JA",Eingabeblatt!$I$10="NEIN")),V19,V19+W18),IF(V19=0,0,IF(OR(COUNT(W7:W12,W22:W38)&gt;0,AND(COUNT(W7:W12,W22:W38)=0,W16=0)),IF(OR(AND(W$86="JA",W14&gt;W16),AND(W86="JA",Eingabeblatt!$I$10="NEIN")),V19,V19+W18),0))),V19)</f>
        <v>0</v>
      </c>
      <c r="X19" s="1051">
        <f ca="1">IF(X4&lt;&gt;"",IF(DATE($D$2,MONTH($C$2),X$4)&lt;=Eingabeblatt!$I$8,IF(OR(AND(X$86="JA",X14&gt;X16),AND(X86="JA",Eingabeblatt!$I$10="NEIN")),W19,W19+X18),IF(W19=0,0,IF(OR(COUNT(X7:X12,X22:X38)&gt;0,AND(COUNT(X7:X12,X22:X38)=0,X16=0)),IF(OR(AND(X$86="JA",X14&gt;X16),AND(X86="JA",Eingabeblatt!$I$10="NEIN")),W19,W19+X18),0))),W19)</f>
        <v>0</v>
      </c>
      <c r="Y19" s="1051">
        <f ca="1">IF(Y4&lt;&gt;"",IF(DATE($D$2,MONTH($C$2),Y$4)&lt;=Eingabeblatt!$I$8,IF(OR(AND(Y$86="JA",Y14&gt;Y16),AND(Y86="JA",Eingabeblatt!$I$10="NEIN")),X19,X19+Y18),IF(X19=0,0,IF(OR(COUNT(Y7:Y12,Y22:Y38)&gt;0,AND(COUNT(Y7:Y12,Y22:Y38)=0,Y16=0)),IF(OR(AND(Y$86="JA",Y14&gt;Y16),AND(Y86="JA",Eingabeblatt!$I$10="NEIN")),X19,X19+Y18),0))),X19)</f>
        <v>0</v>
      </c>
      <c r="Z19" s="1051">
        <f ca="1">IF(Z4&lt;&gt;"",IF(DATE($D$2,MONTH($C$2),Z$4)&lt;=Eingabeblatt!$I$8,IF(OR(AND(Z$86="JA",Z14&gt;Z16),AND(Z86="JA",Eingabeblatt!$I$10="NEIN")),Y19,Y19+Z18),IF(Y19=0,0,IF(OR(COUNT(Z7:Z12,Z22:Z38)&gt;0,AND(COUNT(Z7:Z12,Z22:Z38)=0,Z16=0)),IF(OR(AND(Z$86="JA",Z14&gt;Z16),AND(Z86="JA",Eingabeblatt!$I$10="NEIN")),Y19,Y19+Z18),0))),Y19)</f>
        <v>0</v>
      </c>
      <c r="AA19" s="1051">
        <f ca="1">IF(AA4&lt;&gt;"",IF(DATE($D$2,MONTH($C$2),AA$4)&lt;=Eingabeblatt!$I$8,IF(OR(AND(AA$86="JA",AA14&gt;AA16),AND(AA86="JA",Eingabeblatt!$I$10="NEIN")),Z19,Z19+AA18),IF(Z19=0,0,IF(OR(COUNT(AA7:AA12,AA22:AA38)&gt;0,AND(COUNT(AA7:AA12,AA22:AA38)=0,AA16=0)),IF(OR(AND(AA$86="JA",AA14&gt;AA16),AND(AA86="JA",Eingabeblatt!$I$10="NEIN")),Z19,Z19+AA18),0))),Z19)</f>
        <v>0</v>
      </c>
      <c r="AB19" s="1051">
        <f ca="1">IF(AB4&lt;&gt;"",IF(DATE($D$2,MONTH($C$2),AB$4)&lt;=Eingabeblatt!$I$8,IF(OR(AND(AB$86="JA",AB14&gt;AB16),AND(AB86="JA",Eingabeblatt!$I$10="NEIN")),AA19,AA19+AB18),IF(AA19=0,0,IF(OR(COUNT(AB7:AB12,AB22:AB38)&gt;0,AND(COUNT(AB7:AB12,AB22:AB38)=0,AB16=0)),IF(OR(AND(AB$86="JA",AB14&gt;AB16),AND(AB86="JA",Eingabeblatt!$I$10="NEIN")),AA19,AA19+AB18),0))),AA19)</f>
        <v>0</v>
      </c>
      <c r="AC19" s="1051">
        <f ca="1">IF(AC4&lt;&gt;"",IF(DATE($D$2,MONTH($C$2),AC$4)&lt;=Eingabeblatt!$I$8,IF(OR(AND(AC$86="JA",AC14&gt;AC16),AND(AC86="JA",Eingabeblatt!$I$10="NEIN")),AB19,AB19+AC18),IF(AB19=0,0,IF(OR(COUNT(AC7:AC12,AC22:AC38)&gt;0,AND(COUNT(AC7:AC12,AC22:AC38)=0,AC16=0)),IF(OR(AND(AC$86="JA",AC14&gt;AC16),AND(AC86="JA",Eingabeblatt!$I$10="NEIN")),AB19,AB19+AC18),0))),AB19)</f>
        <v>0</v>
      </c>
      <c r="AD19" s="1051">
        <f ca="1">IF(AD4&lt;&gt;"",IF(DATE($D$2,MONTH($C$2),AD$4)&lt;=Eingabeblatt!$I$8,IF(OR(AND(AD$86="JA",AD14&gt;AD16),AND(AD86="JA",Eingabeblatt!$I$10="NEIN")),AC19,AC19+AD18),IF(AC19=0,0,IF(OR(COUNT(AD7:AD12,AD22:AD38)&gt;0,AND(COUNT(AD7:AD12,AD22:AD38)=0,AD16=0)),IF(OR(AND(AD$86="JA",AD14&gt;AD16),AND(AD86="JA",Eingabeblatt!$I$10="NEIN")),AC19,AC19+AD18),0))),AC19)</f>
        <v>0</v>
      </c>
      <c r="AE19" s="1051">
        <f ca="1">IF(AE4&lt;&gt;"",IF(DATE($D$2,MONTH($C$2),AE$4)&lt;=Eingabeblatt!$I$8,IF(OR(AND(AE$86="JA",AE14&gt;AE16),AND(AE86="JA",Eingabeblatt!$I$10="NEIN")),AD19,AD19+AE18),IF(AD19=0,0,IF(OR(COUNT(AE7:AE12,AE22:AE38)&gt;0,AND(COUNT(AE7:AE12,AE22:AE38)=0,AE16=0)),IF(OR(AND(AE$86="JA",AE14&gt;AE16),AND(AE86="JA",Eingabeblatt!$I$10="NEIN")),AD19,AD19+AE18),0))),AD19)</f>
        <v>0</v>
      </c>
      <c r="AF19" s="1051">
        <f ca="1">IF(AF4&lt;&gt;"",IF(DATE($D$2,MONTH($C$2),AF$4)&lt;=Eingabeblatt!$I$8,IF(OR(AND(AF$86="JA",AF14&gt;AF16),AND(AF86="JA",Eingabeblatt!$I$10="NEIN")),AE19,AE19+AF18),IF(AE19=0,0,IF(OR(COUNT(AF7:AF12,AF22:AF38)&gt;0,AND(COUNT(AF7:AF12,AF22:AF38)=0,AF16=0)),IF(OR(AND(AF$86="JA",AF14&gt;AF16),AND(AF86="JA",Eingabeblatt!$I$10="NEIN")),AE19,AE19+AF18),0))),AE19)</f>
        <v>0</v>
      </c>
      <c r="AG19" s="1051">
        <f ca="1">IF(AG4&lt;&gt;"",IF(DATE($D$2,MONTH($C$2),AG$4)&lt;=Eingabeblatt!$I$8,IF(OR(AND(AG$86="JA",AG14&gt;AG16),AND(AG86="JA",Eingabeblatt!$I$10="NEIN")),AF19,AF19+AG18),IF(AF19=0,0,IF(OR(COUNT(AG7:AG12,AG22:AG38)&gt;0,AND(COUNT(AG7:AG12,AG22:AG38)=0,AG16=0)),IF(OR(AND(AG$86="JA",AG14&gt;AG16),AND(AG86="JA",Eingabeblatt!$I$10="NEIN")),AF19,AF19+AG18),0))),AF19)</f>
        <v>0</v>
      </c>
      <c r="AH19" s="1051">
        <f ca="1">IF(AH4&lt;&gt;"",IF(DATE($D$2,MONTH($C$2),AH$4)&lt;=Eingabeblatt!$I$8,IF(OR(AND(AH$86="JA",AH14&gt;AH16),AND(AH86="JA",Eingabeblatt!$I$10="NEIN")),AG19,AG19+AH18),IF(AG19=0,0,IF(OR(COUNT(AH7:AH12,AH22:AH38)&gt;0,AND(COUNT(AH7:AH12,AH22:AH38)=0,AH16=0)),IF(OR(AND(AH$86="JA",AH14&gt;AH16),AND(AH86="JA",Eingabeblatt!$I$10="NEIN")),AG19,AG19+AH18),0))),AG19)</f>
        <v>0</v>
      </c>
      <c r="AI19" s="1051">
        <f ca="1">IF(AI4&lt;&gt;"",IF(DATE($D$2,MONTH($C$2),AI$4)&lt;=Eingabeblatt!$I$8,IF(OR(AND(AI$86="JA",AI14&gt;AI16),AND(AI86="JA",Eingabeblatt!$I$10="NEIN")),AH19,AH19+AI18),IF(AH19=0,0,IF(OR(COUNT(AI7:AI12,AI22:AI38)&gt;0,AND(COUNT(AI7:AI12,AI22:AI38)=0,AI16=0)),IF(OR(AND(AI$86="JA",AI14&gt;AI16),AND(AI86="JA",Eingabeblatt!$I$10="NEIN")),AH19,AH19+AI18),0))),AH19)</f>
        <v>0</v>
      </c>
      <c r="AJ19" s="1053">
        <f ca="1">AI19</f>
        <v>0</v>
      </c>
      <c r="AK19" s="904">
        <f ca="1">AI19</f>
        <v>0</v>
      </c>
      <c r="AL19" s="905" t="s">
        <v>422</v>
      </c>
      <c r="AM19" s="905"/>
      <c r="AN19" s="906"/>
      <c r="AO19" s="781"/>
      <c r="AP19" s="781"/>
      <c r="AQ19" s="781"/>
      <c r="AR19" s="781"/>
      <c r="AS19" s="907"/>
      <c r="AT19" s="781"/>
    </row>
    <row r="20" spans="1:46" ht="22.5" hidden="1" customHeight="1" outlineLevel="1" x14ac:dyDescent="0.2">
      <c r="B20" s="143"/>
      <c r="C20" s="953" t="str">
        <f>Januar!C20</f>
        <v>Feiertagssaldo</v>
      </c>
      <c r="D20" s="954">
        <f>November!AJ20</f>
        <v>0</v>
      </c>
      <c r="E20" s="955">
        <f t="shared" ref="E20:AI20" si="9">IF(VLOOKUP(DATE($D$2,MONTH($C$2),E$4),Ferienanspruch,3,TRUE)=100,D20-E21,IF(VLOOKUP(DATE($D$2,MONTH($C$2),E$4),Feiertagsanspruch,6,TRUE)*24&lt;Normtagesarbeitszeit*24,IF((E17-E15)&lt;0,D20-E21+(E15-E17),IF(E17&gt;0,D20-E21,D20-E21+E15)),IF((E17-E15)&lt;0,D20-E21+(E15-E17),IF(E17&gt;0,D20-E21,D20-E21+E15))))</f>
        <v>0</v>
      </c>
      <c r="F20" s="956">
        <f t="shared" si="9"/>
        <v>0</v>
      </c>
      <c r="G20" s="956">
        <f t="shared" si="9"/>
        <v>0</v>
      </c>
      <c r="H20" s="956">
        <f t="shared" si="9"/>
        <v>0</v>
      </c>
      <c r="I20" s="956">
        <f t="shared" si="9"/>
        <v>0</v>
      </c>
      <c r="J20" s="956">
        <f t="shared" si="9"/>
        <v>0</v>
      </c>
      <c r="K20" s="956">
        <f t="shared" si="9"/>
        <v>0</v>
      </c>
      <c r="L20" s="956">
        <f t="shared" si="9"/>
        <v>0</v>
      </c>
      <c r="M20" s="956">
        <f t="shared" si="9"/>
        <v>0</v>
      </c>
      <c r="N20" s="956">
        <f t="shared" si="9"/>
        <v>0</v>
      </c>
      <c r="O20" s="956">
        <f t="shared" si="9"/>
        <v>0</v>
      </c>
      <c r="P20" s="956">
        <f t="shared" si="9"/>
        <v>0</v>
      </c>
      <c r="Q20" s="956">
        <f t="shared" si="9"/>
        <v>0</v>
      </c>
      <c r="R20" s="956">
        <f t="shared" si="9"/>
        <v>0</v>
      </c>
      <c r="S20" s="956">
        <f t="shared" si="9"/>
        <v>0</v>
      </c>
      <c r="T20" s="956">
        <f t="shared" si="9"/>
        <v>0</v>
      </c>
      <c r="U20" s="956">
        <f t="shared" si="9"/>
        <v>0</v>
      </c>
      <c r="V20" s="956">
        <f t="shared" si="9"/>
        <v>0</v>
      </c>
      <c r="W20" s="956">
        <f t="shared" si="9"/>
        <v>0</v>
      </c>
      <c r="X20" s="956">
        <f t="shared" si="9"/>
        <v>0</v>
      </c>
      <c r="Y20" s="956">
        <f t="shared" si="9"/>
        <v>0</v>
      </c>
      <c r="Z20" s="956">
        <f t="shared" si="9"/>
        <v>0</v>
      </c>
      <c r="AA20" s="956">
        <f t="shared" si="9"/>
        <v>0</v>
      </c>
      <c r="AB20" s="956">
        <f t="shared" si="9"/>
        <v>0</v>
      </c>
      <c r="AC20" s="956">
        <f t="shared" si="9"/>
        <v>0</v>
      </c>
      <c r="AD20" s="956">
        <f t="shared" si="9"/>
        <v>0</v>
      </c>
      <c r="AE20" s="956">
        <f t="shared" si="9"/>
        <v>0</v>
      </c>
      <c r="AF20" s="956">
        <f t="shared" si="9"/>
        <v>0</v>
      </c>
      <c r="AG20" s="956">
        <f t="shared" si="9"/>
        <v>0</v>
      </c>
      <c r="AH20" s="956">
        <f t="shared" si="9"/>
        <v>0</v>
      </c>
      <c r="AI20" s="957">
        <f t="shared" si="9"/>
        <v>0</v>
      </c>
      <c r="AJ20" s="142">
        <f>AI20</f>
        <v>0</v>
      </c>
      <c r="AK20" s="912">
        <f>AJ20</f>
        <v>0</v>
      </c>
      <c r="AL20" s="141" t="s">
        <v>423</v>
      </c>
      <c r="AM20" s="91"/>
      <c r="AN20" s="113"/>
      <c r="AO20" s="113"/>
      <c r="AP20" s="113"/>
      <c r="AQ20" s="89"/>
      <c r="AR20" s="89"/>
    </row>
    <row r="21" spans="1:46" s="88" customFormat="1" hidden="1" outlineLevel="1" x14ac:dyDescent="0.2">
      <c r="A21" s="88" t="s">
        <v>424</v>
      </c>
      <c r="B21" s="143"/>
      <c r="C21" s="1054" t="str">
        <f>Januar!C21</f>
        <v>Komp.Feiertg.f.Teilzeiter</v>
      </c>
      <c r="D21" s="1055"/>
      <c r="E21" s="1056"/>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8"/>
      <c r="AJ21" s="1059">
        <f>SUM(D21:AI21)</f>
        <v>0</v>
      </c>
      <c r="AK21" s="1060">
        <f>AJ21</f>
        <v>0</v>
      </c>
      <c r="AL21" s="144" t="s">
        <v>359</v>
      </c>
      <c r="AM21" s="145"/>
      <c r="AN21" s="146"/>
      <c r="AO21" s="146"/>
      <c r="AP21" s="146"/>
      <c r="AQ21" s="147"/>
      <c r="AR21" s="147"/>
      <c r="AT21" s="8"/>
    </row>
    <row r="22" spans="1:46" s="88" customFormat="1" collapsed="1" x14ac:dyDescent="0.2">
      <c r="A22" s="148"/>
      <c r="B22" s="143"/>
      <c r="C22" s="149" t="str">
        <f>Januar!C22</f>
        <v>Ferienbezug</v>
      </c>
      <c r="D22" s="150">
        <f>November!AK22</f>
        <v>8.0500000000000007</v>
      </c>
      <c r="E22" s="913"/>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322"/>
      <c r="AJ22" s="151">
        <f>SUM(E22:AI22)</f>
        <v>0</v>
      </c>
      <c r="AK22" s="152">
        <f>ROUND(D22-AJ22,8)</f>
        <v>8.0500000000000007</v>
      </c>
      <c r="AL22" s="144" t="s">
        <v>425</v>
      </c>
      <c r="AM22" s="145" t="s">
        <v>426</v>
      </c>
      <c r="AN22" s="146"/>
      <c r="AO22" s="146"/>
      <c r="AP22" s="146"/>
      <c r="AQ22" s="147"/>
      <c r="AR22" s="147"/>
    </row>
    <row r="23" spans="1:46" s="88" customFormat="1" ht="22.5" hidden="1" customHeight="1" outlineLevel="1" x14ac:dyDescent="0.2">
      <c r="A23" s="148"/>
      <c r="B23" s="153">
        <f>Eingabeblatt!E29</f>
        <v>0</v>
      </c>
      <c r="C23" s="154" t="str">
        <f>Januar!C23</f>
        <v>Kompens. Arbeitszeit</v>
      </c>
      <c r="D23" s="155">
        <f>November!AK23</f>
        <v>0</v>
      </c>
      <c r="E23" s="913"/>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322"/>
      <c r="AJ23" s="151">
        <f>SUM(E23:AI23)</f>
        <v>0</v>
      </c>
      <c r="AK23" s="152">
        <f>IF(B23="",0,ROUND(B23+D23-AJ23,8))</f>
        <v>0</v>
      </c>
      <c r="AL23" s="144" t="s">
        <v>425</v>
      </c>
      <c r="AM23" s="145"/>
      <c r="AN23" s="146"/>
      <c r="AO23" s="692"/>
      <c r="AP23" s="146"/>
      <c r="AQ23" s="147"/>
      <c r="AR23" s="147"/>
    </row>
    <row r="24" spans="1:46" s="88" customFormat="1" ht="22.5" hidden="1" customHeight="1" outlineLevel="1" x14ac:dyDescent="0.2">
      <c r="A24" s="148" t="s">
        <v>424</v>
      </c>
      <c r="B24" s="156"/>
      <c r="C24" s="154" t="str">
        <f>Januar!C24</f>
        <v>Kompens. Überzeit</v>
      </c>
      <c r="D24" s="150">
        <f>November!AK24</f>
        <v>0</v>
      </c>
      <c r="E24" s="913"/>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322"/>
      <c r="AJ24" s="151">
        <f>SUM(E24:AI24)</f>
        <v>0</v>
      </c>
      <c r="AK24" s="152">
        <f>ROUND(D24+AJ85-AJ24,8)</f>
        <v>0</v>
      </c>
      <c r="AL24" s="157" t="s">
        <v>428</v>
      </c>
      <c r="AM24" s="145" t="s">
        <v>429</v>
      </c>
      <c r="AN24" s="146"/>
      <c r="AO24" s="692"/>
      <c r="AP24" s="146"/>
      <c r="AQ24" s="147"/>
      <c r="AR24" s="147"/>
    </row>
    <row r="25" spans="1:46" s="88" customFormat="1" collapsed="1" x14ac:dyDescent="0.2">
      <c r="A25" s="148"/>
      <c r="B25" s="156"/>
      <c r="C25" s="154" t="str">
        <f>Januar!C25</f>
        <v>Krankheit</v>
      </c>
      <c r="D25" s="158">
        <f>November!AK25</f>
        <v>0</v>
      </c>
      <c r="E25" s="913"/>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322"/>
      <c r="AJ25" s="151">
        <f>SUM(E25:AI25)</f>
        <v>0</v>
      </c>
      <c r="AK25" s="152">
        <f t="shared" ref="AK25:AK30" si="10">ROUND(B25+D25+AJ25,8)</f>
        <v>0</v>
      </c>
      <c r="AL25" s="144" t="s">
        <v>359</v>
      </c>
      <c r="AM25" s="145"/>
      <c r="AN25" s="146"/>
      <c r="AO25" s="146"/>
      <c r="AP25" s="147"/>
      <c r="AQ25" s="147"/>
      <c r="AR25" s="147"/>
    </row>
    <row r="26" spans="1:46" s="88" customFormat="1" x14ac:dyDescent="0.2">
      <c r="A26" s="148"/>
      <c r="B26" s="156"/>
      <c r="C26" s="154" t="str">
        <f>Januar!C26</f>
        <v>Unfall</v>
      </c>
      <c r="D26" s="158">
        <f>November!AK26</f>
        <v>0</v>
      </c>
      <c r="E26" s="913"/>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322"/>
      <c r="AJ26" s="151">
        <f>SUM(E26:AI26)</f>
        <v>0</v>
      </c>
      <c r="AK26" s="152">
        <f t="shared" si="10"/>
        <v>0</v>
      </c>
      <c r="AL26" s="144" t="s">
        <v>359</v>
      </c>
      <c r="AM26" s="145" t="s">
        <v>430</v>
      </c>
      <c r="AN26" s="146"/>
      <c r="AO26" s="146"/>
      <c r="AP26" s="146"/>
      <c r="AQ26" s="147"/>
      <c r="AR26" s="147"/>
    </row>
    <row r="27" spans="1:46" s="88" customFormat="1" x14ac:dyDescent="0.2">
      <c r="A27" s="148"/>
      <c r="B27" s="156"/>
      <c r="C27" s="154" t="str">
        <f>Januar!C27</f>
        <v>Militär / Zivildienst</v>
      </c>
      <c r="D27" s="158">
        <f>November!AK27</f>
        <v>0</v>
      </c>
      <c r="E27" s="913"/>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322"/>
      <c r="AJ27" s="151">
        <f t="shared" ref="AJ27:AJ35" si="11">SUM(E27:AI27)</f>
        <v>0</v>
      </c>
      <c r="AK27" s="152">
        <f t="shared" si="10"/>
        <v>0</v>
      </c>
      <c r="AL27" s="144" t="s">
        <v>359</v>
      </c>
      <c r="AM27" s="145"/>
      <c r="AN27" s="146"/>
      <c r="AO27" s="146"/>
      <c r="AP27" s="147"/>
      <c r="AQ27" s="147"/>
      <c r="AR27" s="147"/>
    </row>
    <row r="28" spans="1:46" s="88" customFormat="1" ht="22.5" hidden="1" customHeight="1" outlineLevel="2" x14ac:dyDescent="0.2">
      <c r="A28" s="148" t="s">
        <v>424</v>
      </c>
      <c r="B28" s="156"/>
      <c r="C28" s="154" t="str">
        <f>Januar!C28</f>
        <v>Nichtberufsunfall</v>
      </c>
      <c r="D28" s="158">
        <f>November!AK28</f>
        <v>0</v>
      </c>
      <c r="E28" s="913"/>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322"/>
      <c r="AJ28" s="151">
        <f t="shared" si="11"/>
        <v>0</v>
      </c>
      <c r="AK28" s="152">
        <f t="shared" si="10"/>
        <v>0</v>
      </c>
      <c r="AL28" s="157" t="s">
        <v>359</v>
      </c>
      <c r="AM28" s="145"/>
      <c r="AN28" s="146"/>
      <c r="AO28" s="692"/>
      <c r="AP28" s="146"/>
      <c r="AQ28" s="147"/>
      <c r="AR28" s="147"/>
    </row>
    <row r="29" spans="1:46" s="88" customFormat="1" collapsed="1" x14ac:dyDescent="0.2">
      <c r="A29" s="148"/>
      <c r="B29" s="156"/>
      <c r="C29" s="154" t="str">
        <f>Januar!C29</f>
        <v>Weiterbildung</v>
      </c>
      <c r="D29" s="158">
        <f>November!AK29</f>
        <v>0</v>
      </c>
      <c r="E29" s="913"/>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322"/>
      <c r="AJ29" s="151">
        <f t="shared" si="11"/>
        <v>0</v>
      </c>
      <c r="AK29" s="152">
        <f t="shared" si="10"/>
        <v>0</v>
      </c>
      <c r="AL29" s="144" t="s">
        <v>359</v>
      </c>
      <c r="AM29" s="145"/>
      <c r="AN29" s="146"/>
      <c r="AO29" s="146"/>
      <c r="AP29" s="147"/>
      <c r="AQ29" s="147"/>
      <c r="AR29" s="147"/>
    </row>
    <row r="30" spans="1:46" s="88" customFormat="1" x14ac:dyDescent="0.2">
      <c r="A30" s="148"/>
      <c r="B30" s="156"/>
      <c r="C30" s="154" t="str">
        <f>Januar!C30</f>
        <v>Unbezahlter Urlaub</v>
      </c>
      <c r="D30" s="158">
        <f>November!AK30</f>
        <v>0</v>
      </c>
      <c r="E30" s="913"/>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322"/>
      <c r="AJ30" s="151">
        <f t="shared" si="11"/>
        <v>0</v>
      </c>
      <c r="AK30" s="152">
        <f t="shared" si="10"/>
        <v>0</v>
      </c>
      <c r="AL30" s="144" t="s">
        <v>359</v>
      </c>
      <c r="AM30" s="145"/>
      <c r="AN30" s="146"/>
      <c r="AO30" s="146"/>
      <c r="AP30" s="147"/>
      <c r="AQ30" s="147"/>
      <c r="AR30" s="147"/>
    </row>
    <row r="31" spans="1:46" s="88" customFormat="1" x14ac:dyDescent="0.2">
      <c r="A31" s="148"/>
      <c r="B31" s="159">
        <f>IF(Eingabeblatt!C183="OK",Eingabeblatt!A183,"  Fehler")</f>
        <v>0</v>
      </c>
      <c r="C31" s="154" t="str">
        <f>Januar!C31</f>
        <v>Bezahlter Urlaub</v>
      </c>
      <c r="D31" s="158">
        <f>November!AK31</f>
        <v>0</v>
      </c>
      <c r="E31" s="913"/>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322"/>
      <c r="AJ31" s="151">
        <f t="shared" si="11"/>
        <v>0</v>
      </c>
      <c r="AK31" s="160">
        <f>ROUND(B31+D31-AJ31,8)</f>
        <v>0</v>
      </c>
      <c r="AL31" s="144" t="s">
        <v>425</v>
      </c>
      <c r="AM31" s="145"/>
      <c r="AN31" s="146"/>
      <c r="AO31" s="146"/>
      <c r="AP31" s="147"/>
      <c r="AQ31" s="147"/>
      <c r="AR31" s="147"/>
    </row>
    <row r="32" spans="1:46" s="88" customFormat="1" x14ac:dyDescent="0.2">
      <c r="A32" s="148"/>
      <c r="B32" s="159">
        <f>IF(Eingabeblatt!C184="OK",Eingabeblatt!A184,"  Fehler")</f>
        <v>0</v>
      </c>
      <c r="C32" s="161" t="str">
        <f>Januar!C32</f>
        <v>Kaderarbeitszeit</v>
      </c>
      <c r="D32" s="162">
        <f>November!AK32</f>
        <v>0</v>
      </c>
      <c r="E32" s="914"/>
      <c r="F32" s="915"/>
      <c r="G32" s="915"/>
      <c r="H32" s="915"/>
      <c r="I32" s="915"/>
      <c r="J32" s="915"/>
      <c r="K32" s="915"/>
      <c r="L32" s="915"/>
      <c r="M32" s="915"/>
      <c r="N32" s="915"/>
      <c r="O32" s="915"/>
      <c r="P32" s="915"/>
      <c r="Q32" s="915"/>
      <c r="R32" s="915"/>
      <c r="S32" s="915"/>
      <c r="T32" s="915"/>
      <c r="U32" s="915"/>
      <c r="V32" s="915"/>
      <c r="W32" s="915"/>
      <c r="X32" s="915"/>
      <c r="Y32" s="915"/>
      <c r="Z32" s="915"/>
      <c r="AA32" s="915"/>
      <c r="AB32" s="915"/>
      <c r="AC32" s="915"/>
      <c r="AD32" s="915"/>
      <c r="AE32" s="915"/>
      <c r="AF32" s="915"/>
      <c r="AG32" s="915"/>
      <c r="AH32" s="915"/>
      <c r="AI32" s="916"/>
      <c r="AJ32" s="163">
        <f t="shared" si="11"/>
        <v>0</v>
      </c>
      <c r="AK32" s="164">
        <f>ROUND(B32+D32-AJ32,8)</f>
        <v>0</v>
      </c>
      <c r="AL32" s="157" t="s">
        <v>425</v>
      </c>
      <c r="AM32" s="145"/>
      <c r="AN32" s="146"/>
      <c r="AO32" s="146"/>
      <c r="AP32" s="146"/>
      <c r="AQ32" s="147"/>
      <c r="AR32" s="147"/>
    </row>
    <row r="33" spans="1:46" ht="22.5" hidden="1" customHeight="1" outlineLevel="1" x14ac:dyDescent="0.2">
      <c r="A33" s="165" t="s">
        <v>424</v>
      </c>
      <c r="B33" s="156">
        <f>IF(Eingabeblatt!C185="OK",Eingabeblatt!A185,"  Fehler")</f>
        <v>0</v>
      </c>
      <c r="C33" s="166" t="str">
        <f>Januar!C33</f>
        <v>Nebenbeschäftigung</v>
      </c>
      <c r="D33" s="162"/>
      <c r="E33" s="167"/>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9"/>
      <c r="AJ33" s="140">
        <f t="shared" si="11"/>
        <v>0</v>
      </c>
      <c r="AK33" s="917">
        <f>ROUND(B33+D33-AJ33,8)</f>
        <v>0</v>
      </c>
      <c r="AL33" s="157" t="s">
        <v>425</v>
      </c>
      <c r="AM33" s="91"/>
      <c r="AN33" s="113"/>
      <c r="AO33" s="692"/>
      <c r="AP33" s="113"/>
      <c r="AQ33" s="89"/>
      <c r="AR33" s="89"/>
      <c r="AT33" s="88"/>
    </row>
    <row r="34" spans="1:46" ht="22.5" hidden="1" customHeight="1" outlineLevel="1" x14ac:dyDescent="0.2">
      <c r="A34" s="165"/>
      <c r="B34" s="156">
        <f>IF(Eingabeblatt!C182="OK",Eingabeblatt!A182,"  Fehler")</f>
        <v>0</v>
      </c>
      <c r="C34" s="170" t="str">
        <f>Januar!C34</f>
        <v>D A G</v>
      </c>
      <c r="D34" s="162">
        <f>November!AK34</f>
        <v>0</v>
      </c>
      <c r="E34" s="171"/>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3"/>
      <c r="AJ34" s="174">
        <f>SUM(E34:AI34)</f>
        <v>0</v>
      </c>
      <c r="AK34" s="152">
        <f>ROUND(B34+D34-AJ34,8)</f>
        <v>0</v>
      </c>
      <c r="AL34" s="157" t="s">
        <v>425</v>
      </c>
      <c r="AM34" s="91"/>
      <c r="AN34" s="113"/>
      <c r="AO34" s="692"/>
      <c r="AP34" s="113"/>
      <c r="AQ34" s="89"/>
      <c r="AR34" s="89"/>
    </row>
    <row r="35" spans="1:46" ht="22.5" hidden="1" customHeight="1" outlineLevel="1" x14ac:dyDescent="0.2">
      <c r="A35" s="165" t="s">
        <v>424</v>
      </c>
      <c r="B35" s="156"/>
      <c r="C35" s="170" t="str">
        <f>Januar!C35</f>
        <v>Diverses</v>
      </c>
      <c r="D35" s="162"/>
      <c r="E35" s="171"/>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c r="AJ35" s="174">
        <f t="shared" si="11"/>
        <v>0</v>
      </c>
      <c r="AK35" s="152">
        <f>ROUND(B35+D35+AJ35,8)</f>
        <v>0</v>
      </c>
      <c r="AL35" s="157" t="s">
        <v>359</v>
      </c>
      <c r="AM35" s="91"/>
      <c r="AN35" s="113"/>
      <c r="AO35" s="692"/>
      <c r="AP35" s="113"/>
      <c r="AQ35" s="89"/>
      <c r="AR35" s="89"/>
    </row>
    <row r="36" spans="1:46" ht="22.5" hidden="1" customHeight="1" outlineLevel="1" x14ac:dyDescent="0.2">
      <c r="A36" s="165" t="s">
        <v>424</v>
      </c>
      <c r="B36" s="156"/>
      <c r="C36" s="170" t="str">
        <f>Januar!C36</f>
        <v>freie Zeile 1</v>
      </c>
      <c r="D36" s="162"/>
      <c r="E36" s="171"/>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c r="AJ36" s="174">
        <f>SUM(E36:AI36)</f>
        <v>0</v>
      </c>
      <c r="AK36" s="152">
        <f>ROUND(B36+D36+AJ36,8)</f>
        <v>0</v>
      </c>
      <c r="AL36" s="157" t="s">
        <v>359</v>
      </c>
      <c r="AM36" s="91"/>
      <c r="AN36" s="113"/>
      <c r="AO36" s="692"/>
      <c r="AP36" s="113"/>
      <c r="AQ36" s="89"/>
      <c r="AR36" s="89"/>
    </row>
    <row r="37" spans="1:46" ht="22.5" hidden="1" customHeight="1" outlineLevel="1" x14ac:dyDescent="0.2">
      <c r="A37" s="165" t="s">
        <v>424</v>
      </c>
      <c r="B37" s="156"/>
      <c r="C37" s="170" t="str">
        <f>Januar!C37</f>
        <v>freie Zeile 2</v>
      </c>
      <c r="D37" s="162"/>
      <c r="E37" s="171"/>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3"/>
      <c r="AJ37" s="174">
        <f>SUM(E37:AI37)</f>
        <v>0</v>
      </c>
      <c r="AK37" s="152">
        <f>ROUND(B37+D37+AJ37,8)</f>
        <v>0</v>
      </c>
      <c r="AL37" s="157" t="s">
        <v>359</v>
      </c>
      <c r="AM37" s="91"/>
      <c r="AN37" s="113"/>
      <c r="AO37" s="692"/>
      <c r="AP37" s="113"/>
      <c r="AQ37" s="89"/>
      <c r="AR37" s="89"/>
    </row>
    <row r="38" spans="1:46" ht="22.5" hidden="1" customHeight="1" outlineLevel="1" x14ac:dyDescent="0.2">
      <c r="A38" s="165" t="s">
        <v>424</v>
      </c>
      <c r="B38" s="156"/>
      <c r="C38" s="175" t="str">
        <f>Januar!C38</f>
        <v>freie Zeile 3</v>
      </c>
      <c r="D38" s="162"/>
      <c r="E38" s="176"/>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8"/>
      <c r="AJ38" s="142">
        <f>SUM(E38:AI38)</f>
        <v>0</v>
      </c>
      <c r="AK38" s="912">
        <f>ROUND(B38+D38+AJ38,8)</f>
        <v>0</v>
      </c>
      <c r="AL38" s="157" t="s">
        <v>359</v>
      </c>
      <c r="AM38" s="91"/>
      <c r="AN38" s="113"/>
      <c r="AO38" s="692"/>
      <c r="AP38" s="113"/>
      <c r="AQ38" s="89"/>
      <c r="AR38" s="89"/>
    </row>
    <row r="39" spans="1:46" s="34" customFormat="1" hidden="1" outlineLevel="1" x14ac:dyDescent="0.2">
      <c r="A39" s="179"/>
      <c r="B39" s="180"/>
      <c r="C39" s="918" t="str">
        <f>Januar!C39</f>
        <v>Arbeitszeit aufgeteilt</v>
      </c>
      <c r="D39" s="1061"/>
      <c r="E39" s="1062">
        <f>ROUND(SUM(E41:E84),8)</f>
        <v>0</v>
      </c>
      <c r="F39" s="1063">
        <f>ROUND(SUM(F41:F84),8)</f>
        <v>0</v>
      </c>
      <c r="G39" s="1063">
        <f>ROUND(SUM(G41:G84),8)</f>
        <v>0</v>
      </c>
      <c r="H39" s="1063">
        <f t="shared" ref="H39:AI39" si="12">ROUND(SUM(H41:H84),8)</f>
        <v>0</v>
      </c>
      <c r="I39" s="1063">
        <f t="shared" si="12"/>
        <v>0</v>
      </c>
      <c r="J39" s="1063">
        <f t="shared" si="12"/>
        <v>0</v>
      </c>
      <c r="K39" s="1063">
        <f t="shared" si="12"/>
        <v>0</v>
      </c>
      <c r="L39" s="1063">
        <f t="shared" si="12"/>
        <v>0</v>
      </c>
      <c r="M39" s="1063">
        <f t="shared" si="12"/>
        <v>0</v>
      </c>
      <c r="N39" s="1063">
        <f t="shared" si="12"/>
        <v>0</v>
      </c>
      <c r="O39" s="1063">
        <f t="shared" si="12"/>
        <v>0</v>
      </c>
      <c r="P39" s="1063">
        <f t="shared" si="12"/>
        <v>0</v>
      </c>
      <c r="Q39" s="1063">
        <f t="shared" si="12"/>
        <v>0</v>
      </c>
      <c r="R39" s="1063">
        <f t="shared" si="12"/>
        <v>0</v>
      </c>
      <c r="S39" s="1063">
        <f t="shared" si="12"/>
        <v>0</v>
      </c>
      <c r="T39" s="1063">
        <f t="shared" si="12"/>
        <v>0</v>
      </c>
      <c r="U39" s="1063">
        <f t="shared" si="12"/>
        <v>0</v>
      </c>
      <c r="V39" s="1063">
        <f t="shared" si="12"/>
        <v>0</v>
      </c>
      <c r="W39" s="1063">
        <f t="shared" si="12"/>
        <v>0</v>
      </c>
      <c r="X39" s="1063">
        <f t="shared" si="12"/>
        <v>0</v>
      </c>
      <c r="Y39" s="1063">
        <f t="shared" si="12"/>
        <v>0</v>
      </c>
      <c r="Z39" s="1063">
        <f t="shared" si="12"/>
        <v>0</v>
      </c>
      <c r="AA39" s="1063">
        <f t="shared" si="12"/>
        <v>0</v>
      </c>
      <c r="AB39" s="1063">
        <f t="shared" si="12"/>
        <v>0</v>
      </c>
      <c r="AC39" s="1063">
        <f t="shared" si="12"/>
        <v>0</v>
      </c>
      <c r="AD39" s="1063">
        <f t="shared" si="12"/>
        <v>0</v>
      </c>
      <c r="AE39" s="1063">
        <f t="shared" si="12"/>
        <v>0</v>
      </c>
      <c r="AF39" s="1063">
        <f t="shared" si="12"/>
        <v>0</v>
      </c>
      <c r="AG39" s="1063">
        <f t="shared" si="12"/>
        <v>0</v>
      </c>
      <c r="AH39" s="1063">
        <f t="shared" si="12"/>
        <v>0</v>
      </c>
      <c r="AI39" s="1064">
        <f t="shared" si="12"/>
        <v>0</v>
      </c>
      <c r="AJ39" s="969"/>
      <c r="AK39" s="1065"/>
      <c r="AL39" s="13"/>
      <c r="AM39" s="181"/>
      <c r="AN39" s="182"/>
      <c r="AT39" s="8"/>
    </row>
    <row r="40" spans="1:46" s="34" customFormat="1" ht="42" customHeight="1" collapsed="1" x14ac:dyDescent="0.2">
      <c r="A40" s="179"/>
      <c r="B40" s="180"/>
      <c r="C40" s="919" t="str">
        <f>Januar!C40</f>
        <v>in folgenden Bereichen nicht oder zuviel aufgeteilte Arbeitszeit</v>
      </c>
      <c r="D40" s="920"/>
      <c r="E40" s="921">
        <f t="shared" ref="E40:AI40" si="13">ROUND(IF(E13=E39,0,IF(E13&lt;&gt;0,E13-E39,0)),8)</f>
        <v>0</v>
      </c>
      <c r="F40" s="922">
        <f t="shared" si="13"/>
        <v>0</v>
      </c>
      <c r="G40" s="922">
        <f t="shared" si="13"/>
        <v>0</v>
      </c>
      <c r="H40" s="922">
        <f t="shared" si="13"/>
        <v>0</v>
      </c>
      <c r="I40" s="922">
        <f t="shared" si="13"/>
        <v>0</v>
      </c>
      <c r="J40" s="922">
        <f t="shared" si="13"/>
        <v>0</v>
      </c>
      <c r="K40" s="922">
        <f t="shared" si="13"/>
        <v>0</v>
      </c>
      <c r="L40" s="922">
        <f t="shared" si="13"/>
        <v>0</v>
      </c>
      <c r="M40" s="922">
        <f t="shared" si="13"/>
        <v>0</v>
      </c>
      <c r="N40" s="922">
        <f t="shared" si="13"/>
        <v>0</v>
      </c>
      <c r="O40" s="922">
        <f t="shared" si="13"/>
        <v>0</v>
      </c>
      <c r="P40" s="922">
        <f t="shared" si="13"/>
        <v>0</v>
      </c>
      <c r="Q40" s="922">
        <f t="shared" si="13"/>
        <v>0</v>
      </c>
      <c r="R40" s="922">
        <f t="shared" si="13"/>
        <v>0</v>
      </c>
      <c r="S40" s="922">
        <f t="shared" si="13"/>
        <v>0</v>
      </c>
      <c r="T40" s="922">
        <f t="shared" si="13"/>
        <v>0</v>
      </c>
      <c r="U40" s="922">
        <f t="shared" si="13"/>
        <v>0</v>
      </c>
      <c r="V40" s="922">
        <f t="shared" si="13"/>
        <v>0</v>
      </c>
      <c r="W40" s="922">
        <f t="shared" si="13"/>
        <v>0</v>
      </c>
      <c r="X40" s="922">
        <f t="shared" si="13"/>
        <v>0</v>
      </c>
      <c r="Y40" s="922">
        <f t="shared" si="13"/>
        <v>0</v>
      </c>
      <c r="Z40" s="922">
        <f t="shared" si="13"/>
        <v>0</v>
      </c>
      <c r="AA40" s="922">
        <f t="shared" si="13"/>
        <v>0</v>
      </c>
      <c r="AB40" s="922">
        <f t="shared" si="13"/>
        <v>0</v>
      </c>
      <c r="AC40" s="922">
        <f t="shared" si="13"/>
        <v>0</v>
      </c>
      <c r="AD40" s="922">
        <f t="shared" si="13"/>
        <v>0</v>
      </c>
      <c r="AE40" s="922">
        <f t="shared" si="13"/>
        <v>0</v>
      </c>
      <c r="AF40" s="922">
        <f t="shared" si="13"/>
        <v>0</v>
      </c>
      <c r="AG40" s="922">
        <f t="shared" si="13"/>
        <v>0</v>
      </c>
      <c r="AH40" s="922">
        <f t="shared" si="13"/>
        <v>0</v>
      </c>
      <c r="AI40" s="923">
        <f t="shared" si="13"/>
        <v>0</v>
      </c>
      <c r="AJ40" s="183"/>
      <c r="AK40" s="924"/>
      <c r="AL40" s="13"/>
      <c r="AM40" s="181"/>
      <c r="AN40" s="182"/>
    </row>
    <row r="41" spans="1:46" s="37" customFormat="1" x14ac:dyDescent="0.2">
      <c r="A41" s="148"/>
      <c r="B41" s="1066" t="str">
        <f>ctArbeitsgebiete!A9</f>
        <v>A01</v>
      </c>
      <c r="C41" s="1067" t="str">
        <f>IF(ctArbeitsgebiete!B9&lt;&gt;"",ctArbeitsgebiete!B9,"")</f>
        <v/>
      </c>
      <c r="D41" s="1068"/>
      <c r="E41" s="1069"/>
      <c r="F41" s="1070"/>
      <c r="G41" s="1070"/>
      <c r="H41" s="1070"/>
      <c r="I41" s="1070"/>
      <c r="J41" s="1070"/>
      <c r="K41" s="1070"/>
      <c r="L41" s="1070"/>
      <c r="M41" s="1070"/>
      <c r="N41" s="1070"/>
      <c r="O41" s="1070"/>
      <c r="P41" s="1070"/>
      <c r="Q41" s="1070"/>
      <c r="R41" s="1070"/>
      <c r="S41" s="1070"/>
      <c r="T41" s="1070"/>
      <c r="U41" s="1070"/>
      <c r="V41" s="1070"/>
      <c r="W41" s="1070"/>
      <c r="X41" s="1070"/>
      <c r="Y41" s="1070"/>
      <c r="Z41" s="1070"/>
      <c r="AA41" s="1070"/>
      <c r="AB41" s="1070"/>
      <c r="AC41" s="1070"/>
      <c r="AD41" s="1070"/>
      <c r="AE41" s="1070"/>
      <c r="AF41" s="1070"/>
      <c r="AG41" s="1070"/>
      <c r="AH41" s="1070"/>
      <c r="AI41" s="1071"/>
      <c r="AJ41" s="1072">
        <f>SUM(E41:AI41)</f>
        <v>0</v>
      </c>
      <c r="AK41" s="152"/>
      <c r="AL41" s="146"/>
      <c r="AM41" s="147"/>
      <c r="AN41" s="147"/>
      <c r="AO41" s="147"/>
      <c r="AP41" s="147"/>
      <c r="AQ41" s="147"/>
      <c r="AR41" s="147"/>
      <c r="AS41" s="88"/>
      <c r="AT41" s="34"/>
    </row>
    <row r="42" spans="1:46" x14ac:dyDescent="0.2">
      <c r="A42" s="165"/>
      <c r="B42" s="185" t="str">
        <f>ctArbeitsgebiete!A10</f>
        <v>A02</v>
      </c>
      <c r="C42" s="186" t="str">
        <f>IF(ctArbeitsgebiete!B10&lt;&gt;"",ctArbeitsgebiete!B10,"")</f>
        <v/>
      </c>
      <c r="D42" s="187"/>
      <c r="E42" s="913"/>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322"/>
      <c r="AJ42" s="188">
        <f t="shared" ref="AJ42:AJ84" si="14">SUM(E42:AI42)</f>
        <v>0</v>
      </c>
      <c r="AK42" s="152"/>
      <c r="AL42" s="113"/>
      <c r="AM42" s="89"/>
      <c r="AN42" s="89"/>
      <c r="AO42" s="89"/>
      <c r="AP42" s="89"/>
      <c r="AQ42" s="89"/>
      <c r="AR42" s="89"/>
      <c r="AT42" s="88"/>
    </row>
    <row r="43" spans="1:46" x14ac:dyDescent="0.2">
      <c r="A43" s="165"/>
      <c r="B43" s="185" t="str">
        <f>ctArbeitsgebiete!A11</f>
        <v>A03</v>
      </c>
      <c r="C43" s="186" t="str">
        <f>IF(ctArbeitsgebiete!B11&lt;&gt;"",ctArbeitsgebiete!B11,"")</f>
        <v/>
      </c>
      <c r="D43" s="187"/>
      <c r="E43" s="913"/>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22"/>
      <c r="AJ43" s="188">
        <f t="shared" si="14"/>
        <v>0</v>
      </c>
      <c r="AK43" s="152"/>
      <c r="AL43" s="113"/>
      <c r="AM43" s="89"/>
      <c r="AN43" s="89"/>
      <c r="AO43" s="89"/>
      <c r="AP43" s="89"/>
      <c r="AQ43" s="89"/>
      <c r="AR43" s="89"/>
    </row>
    <row r="44" spans="1:46" x14ac:dyDescent="0.2">
      <c r="A44" s="165"/>
      <c r="B44" s="185" t="str">
        <f>ctArbeitsgebiete!A12</f>
        <v>A04</v>
      </c>
      <c r="C44" s="186" t="str">
        <f>IF(ctArbeitsgebiete!B12&lt;&gt;"",ctArbeitsgebiete!B12,"")</f>
        <v/>
      </c>
      <c r="D44" s="187"/>
      <c r="E44" s="913"/>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322"/>
      <c r="AJ44" s="188">
        <f t="shared" si="14"/>
        <v>0</v>
      </c>
      <c r="AK44" s="152"/>
      <c r="AL44" s="113"/>
      <c r="AM44" s="89"/>
      <c r="AN44" s="89"/>
      <c r="AO44" s="89"/>
      <c r="AP44" s="89"/>
      <c r="AQ44" s="89"/>
      <c r="AR44" s="89"/>
    </row>
    <row r="45" spans="1:46" x14ac:dyDescent="0.2">
      <c r="A45" s="165"/>
      <c r="B45" s="185" t="str">
        <f>ctArbeitsgebiete!A13</f>
        <v>A05</v>
      </c>
      <c r="C45" s="186" t="str">
        <f>IF(ctArbeitsgebiete!B13&lt;&gt;"",ctArbeitsgebiete!B13,"")</f>
        <v/>
      </c>
      <c r="D45" s="187"/>
      <c r="E45" s="913"/>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322"/>
      <c r="AJ45" s="188">
        <f t="shared" si="14"/>
        <v>0</v>
      </c>
      <c r="AK45" s="152"/>
      <c r="AL45" s="113"/>
      <c r="AM45" s="89"/>
      <c r="AN45" s="89"/>
      <c r="AO45" s="89"/>
      <c r="AP45" s="89"/>
      <c r="AQ45" s="89"/>
      <c r="AR45" s="89"/>
    </row>
    <row r="46" spans="1:46" x14ac:dyDescent="0.2">
      <c r="A46" s="165"/>
      <c r="B46" s="185" t="str">
        <f>ctArbeitsgebiete!A14</f>
        <v>A06</v>
      </c>
      <c r="C46" s="186" t="str">
        <f>IF(ctArbeitsgebiete!B14&lt;&gt;"",ctArbeitsgebiete!B14,"")</f>
        <v/>
      </c>
      <c r="D46" s="187"/>
      <c r="E46" s="913"/>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322"/>
      <c r="AJ46" s="188">
        <f t="shared" si="14"/>
        <v>0</v>
      </c>
      <c r="AK46" s="152"/>
      <c r="AL46" s="113"/>
      <c r="AM46" s="89"/>
      <c r="AN46" s="89"/>
      <c r="AO46" s="89"/>
      <c r="AP46" s="89"/>
      <c r="AQ46" s="89"/>
      <c r="AR46" s="89"/>
    </row>
    <row r="47" spans="1:46" x14ac:dyDescent="0.2">
      <c r="A47" s="165"/>
      <c r="B47" s="185" t="str">
        <f>ctArbeitsgebiete!A15</f>
        <v>A07</v>
      </c>
      <c r="C47" s="186" t="str">
        <f>IF(ctArbeitsgebiete!B15&lt;&gt;"",ctArbeitsgebiete!B15,"")</f>
        <v/>
      </c>
      <c r="D47" s="187"/>
      <c r="E47" s="913"/>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322"/>
      <c r="AJ47" s="188">
        <f t="shared" si="14"/>
        <v>0</v>
      </c>
      <c r="AK47" s="152"/>
      <c r="AL47" s="113"/>
      <c r="AM47" s="89"/>
      <c r="AN47" s="89"/>
      <c r="AO47" s="89"/>
      <c r="AP47" s="89"/>
      <c r="AQ47" s="89"/>
      <c r="AR47" s="89"/>
    </row>
    <row r="48" spans="1:46" x14ac:dyDescent="0.2">
      <c r="A48" s="165"/>
      <c r="B48" s="185" t="str">
        <f>ctArbeitsgebiete!A16</f>
        <v>A08</v>
      </c>
      <c r="C48" s="186" t="str">
        <f>IF(ctArbeitsgebiete!B16&lt;&gt;"",ctArbeitsgebiete!B16,"")</f>
        <v/>
      </c>
      <c r="D48" s="187"/>
      <c r="E48" s="913"/>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322"/>
      <c r="AJ48" s="188">
        <f t="shared" si="14"/>
        <v>0</v>
      </c>
      <c r="AK48" s="152"/>
      <c r="AL48" s="113"/>
      <c r="AM48" s="89"/>
      <c r="AN48" s="89"/>
      <c r="AO48" s="89"/>
      <c r="AP48" s="89"/>
      <c r="AQ48" s="89"/>
      <c r="AR48" s="89"/>
    </row>
    <row r="49" spans="1:44" x14ac:dyDescent="0.2">
      <c r="A49" s="165"/>
      <c r="B49" s="185" t="str">
        <f>ctArbeitsgebiete!A17</f>
        <v>A09</v>
      </c>
      <c r="C49" s="186" t="str">
        <f>IF(ctArbeitsgebiete!B17&lt;&gt;"",ctArbeitsgebiete!B17,"")</f>
        <v/>
      </c>
      <c r="D49" s="187"/>
      <c r="E49" s="913"/>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322"/>
      <c r="AJ49" s="188">
        <f t="shared" si="14"/>
        <v>0</v>
      </c>
      <c r="AK49" s="152"/>
      <c r="AL49" s="113"/>
      <c r="AM49" s="89"/>
      <c r="AN49" s="89"/>
      <c r="AO49" s="89"/>
      <c r="AP49" s="89"/>
      <c r="AQ49" s="89"/>
      <c r="AR49" s="89"/>
    </row>
    <row r="50" spans="1:44" x14ac:dyDescent="0.2">
      <c r="A50" s="165"/>
      <c r="B50" s="185" t="str">
        <f>ctArbeitsgebiete!A18</f>
        <v>A10</v>
      </c>
      <c r="C50" s="186" t="str">
        <f>IF(ctArbeitsgebiete!B18&lt;&gt;"",ctArbeitsgebiete!B18,"")</f>
        <v/>
      </c>
      <c r="D50" s="187"/>
      <c r="E50" s="913"/>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322"/>
      <c r="AJ50" s="188">
        <f t="shared" si="14"/>
        <v>0</v>
      </c>
      <c r="AK50" s="152"/>
      <c r="AL50" s="113"/>
      <c r="AM50" s="89"/>
      <c r="AN50" s="89"/>
      <c r="AO50" s="89"/>
      <c r="AP50" s="89"/>
      <c r="AQ50" s="89"/>
      <c r="AR50" s="89"/>
    </row>
    <row r="51" spans="1:44" x14ac:dyDescent="0.2">
      <c r="A51" s="165"/>
      <c r="B51" s="185" t="str">
        <f>ctArbeitsgebiete!A19</f>
        <v>A11</v>
      </c>
      <c r="C51" s="186" t="str">
        <f>IF(ctArbeitsgebiete!B19&lt;&gt;"",ctArbeitsgebiete!B19,"")</f>
        <v/>
      </c>
      <c r="D51" s="187"/>
      <c r="E51" s="913"/>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322"/>
      <c r="AJ51" s="188">
        <f t="shared" si="14"/>
        <v>0</v>
      </c>
      <c r="AK51" s="152"/>
      <c r="AL51" s="113"/>
      <c r="AM51" s="89"/>
      <c r="AN51" s="89"/>
      <c r="AO51" s="89"/>
      <c r="AP51" s="89"/>
      <c r="AQ51" s="89"/>
      <c r="AR51" s="89"/>
    </row>
    <row r="52" spans="1:44" x14ac:dyDescent="0.2">
      <c r="A52" s="165"/>
      <c r="B52" s="185" t="str">
        <f>ctArbeitsgebiete!A20</f>
        <v>A12</v>
      </c>
      <c r="C52" s="186" t="str">
        <f>IF(ctArbeitsgebiete!B20&lt;&gt;"",ctArbeitsgebiete!B20,"")</f>
        <v/>
      </c>
      <c r="D52" s="187"/>
      <c r="E52" s="913"/>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322"/>
      <c r="AJ52" s="188">
        <f t="shared" si="14"/>
        <v>0</v>
      </c>
      <c r="AK52" s="152"/>
      <c r="AL52" s="113"/>
      <c r="AM52" s="89"/>
      <c r="AN52" s="89"/>
      <c r="AO52" s="89"/>
      <c r="AP52" s="89"/>
      <c r="AQ52" s="89"/>
      <c r="AR52" s="89"/>
    </row>
    <row r="53" spans="1:44" x14ac:dyDescent="0.2">
      <c r="A53" s="165"/>
      <c r="B53" s="185" t="str">
        <f>ctArbeitsgebiete!A21</f>
        <v>A13</v>
      </c>
      <c r="C53" s="186" t="str">
        <f>IF(ctArbeitsgebiete!B21&lt;&gt;"",ctArbeitsgebiete!B21,"")</f>
        <v/>
      </c>
      <c r="D53" s="187"/>
      <c r="E53" s="913"/>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322"/>
      <c r="AJ53" s="188">
        <f t="shared" si="14"/>
        <v>0</v>
      </c>
      <c r="AK53" s="152"/>
      <c r="AL53" s="113"/>
      <c r="AM53" s="89"/>
      <c r="AN53" s="89"/>
      <c r="AO53" s="89"/>
      <c r="AP53" s="89"/>
      <c r="AQ53" s="89"/>
      <c r="AR53" s="89"/>
    </row>
    <row r="54" spans="1:44" x14ac:dyDescent="0.2">
      <c r="A54" s="165"/>
      <c r="B54" s="185" t="str">
        <f>ctArbeitsgebiete!A22</f>
        <v>A14</v>
      </c>
      <c r="C54" s="186" t="str">
        <f>IF(ctArbeitsgebiete!B22&lt;&gt;"",ctArbeitsgebiete!B22,"")</f>
        <v/>
      </c>
      <c r="D54" s="187"/>
      <c r="E54" s="913"/>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322"/>
      <c r="AJ54" s="188">
        <f t="shared" si="14"/>
        <v>0</v>
      </c>
      <c r="AK54" s="152"/>
      <c r="AL54" s="113"/>
      <c r="AM54" s="89"/>
      <c r="AN54" s="89"/>
      <c r="AO54" s="89"/>
      <c r="AP54" s="89"/>
      <c r="AQ54" s="89"/>
      <c r="AR54" s="89"/>
    </row>
    <row r="55" spans="1:44" x14ac:dyDescent="0.2">
      <c r="A55" s="165"/>
      <c r="B55" s="185" t="str">
        <f>ctArbeitsgebiete!A23</f>
        <v>A15</v>
      </c>
      <c r="C55" s="186" t="str">
        <f>IF(ctArbeitsgebiete!B23&lt;&gt;"",ctArbeitsgebiete!B23,"")</f>
        <v/>
      </c>
      <c r="D55" s="187"/>
      <c r="E55" s="913"/>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322"/>
      <c r="AJ55" s="188">
        <f t="shared" si="14"/>
        <v>0</v>
      </c>
      <c r="AK55" s="152"/>
      <c r="AL55" s="113"/>
      <c r="AM55" s="89"/>
      <c r="AN55" s="89"/>
      <c r="AO55" s="89"/>
      <c r="AP55" s="89"/>
      <c r="AQ55" s="89"/>
      <c r="AR55" s="89"/>
    </row>
    <row r="56" spans="1:44" x14ac:dyDescent="0.2">
      <c r="A56" s="165"/>
      <c r="B56" s="189" t="str">
        <f>ctArbeitsgebiete!A24</f>
        <v>A16</v>
      </c>
      <c r="C56" s="190" t="str">
        <f>IF(ctArbeitsgebiete!B24&lt;&gt;"",ctArbeitsgebiete!B24,"")</f>
        <v/>
      </c>
      <c r="D56" s="191"/>
      <c r="E56" s="914"/>
      <c r="F56" s="915"/>
      <c r="G56" s="915"/>
      <c r="H56" s="915"/>
      <c r="I56" s="915"/>
      <c r="J56" s="915"/>
      <c r="K56" s="915"/>
      <c r="L56" s="915"/>
      <c r="M56" s="915"/>
      <c r="N56" s="915"/>
      <c r="O56" s="915"/>
      <c r="P56" s="915"/>
      <c r="Q56" s="915"/>
      <c r="R56" s="915"/>
      <c r="S56" s="915"/>
      <c r="T56" s="915"/>
      <c r="U56" s="915"/>
      <c r="V56" s="915"/>
      <c r="W56" s="915"/>
      <c r="X56" s="915"/>
      <c r="Y56" s="915"/>
      <c r="Z56" s="915"/>
      <c r="AA56" s="915"/>
      <c r="AB56" s="915"/>
      <c r="AC56" s="915"/>
      <c r="AD56" s="915"/>
      <c r="AE56" s="915"/>
      <c r="AF56" s="915"/>
      <c r="AG56" s="915"/>
      <c r="AH56" s="915"/>
      <c r="AI56" s="916"/>
      <c r="AJ56" s="192">
        <f t="shared" si="14"/>
        <v>0</v>
      </c>
      <c r="AK56" s="912"/>
      <c r="AL56" s="113"/>
      <c r="AM56" s="89"/>
      <c r="AN56" s="89"/>
      <c r="AO56" s="89"/>
      <c r="AP56" s="89"/>
      <c r="AQ56" s="89"/>
      <c r="AR56" s="89"/>
    </row>
    <row r="57" spans="1:44" x14ac:dyDescent="0.2">
      <c r="A57" s="165"/>
      <c r="B57" s="1066" t="str">
        <f>ctArbeitsgebiete!D9</f>
        <v>B01</v>
      </c>
      <c r="C57" s="1073" t="str">
        <f>IF(ctArbeitsgebiete!E9&lt;&gt;"",ctArbeitsgebiete!E9,"")</f>
        <v/>
      </c>
      <c r="D57" s="1074" t="str">
        <f>IF(ctArbeitsgebiete!F9&lt;&gt;"",ctArbeitsgebiete!F9,"")</f>
        <v/>
      </c>
      <c r="E57" s="1069"/>
      <c r="F57" s="1070"/>
      <c r="G57" s="1070"/>
      <c r="H57" s="1070"/>
      <c r="I57" s="1070"/>
      <c r="J57" s="1070"/>
      <c r="K57" s="1070"/>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0"/>
      <c r="AH57" s="1070"/>
      <c r="AI57" s="1071"/>
      <c r="AJ57" s="1075">
        <f t="shared" si="14"/>
        <v>0</v>
      </c>
      <c r="AK57" s="1060"/>
      <c r="AL57" s="113"/>
      <c r="AM57" s="89"/>
      <c r="AN57" s="89"/>
      <c r="AO57" s="89"/>
      <c r="AP57" s="89"/>
      <c r="AQ57" s="89"/>
      <c r="AR57" s="89"/>
    </row>
    <row r="58" spans="1:44" x14ac:dyDescent="0.2">
      <c r="A58" s="165"/>
      <c r="B58" s="185" t="str">
        <f>ctArbeitsgebiete!D10</f>
        <v>B02</v>
      </c>
      <c r="C58" s="193" t="str">
        <f>IF(ctArbeitsgebiete!E10&lt;&gt;"",ctArbeitsgebiete!E10,"")</f>
        <v/>
      </c>
      <c r="D58" s="194"/>
      <c r="E58" s="913"/>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322"/>
      <c r="AJ58" s="195">
        <f t="shared" si="14"/>
        <v>0</v>
      </c>
      <c r="AK58" s="152"/>
      <c r="AL58" s="113"/>
      <c r="AM58" s="89"/>
      <c r="AN58" s="89"/>
      <c r="AO58" s="89"/>
      <c r="AP58" s="89"/>
      <c r="AQ58" s="89"/>
      <c r="AR58" s="89"/>
    </row>
    <row r="59" spans="1:44" x14ac:dyDescent="0.2">
      <c r="A59" s="165"/>
      <c r="B59" s="185" t="str">
        <f>ctArbeitsgebiete!D11</f>
        <v>B03</v>
      </c>
      <c r="C59" s="193" t="str">
        <f>IF(ctArbeitsgebiete!E11&lt;&gt;"",ctArbeitsgebiete!E11,"")</f>
        <v/>
      </c>
      <c r="D59" s="194"/>
      <c r="E59" s="913"/>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322"/>
      <c r="AJ59" s="195">
        <f t="shared" si="14"/>
        <v>0</v>
      </c>
      <c r="AK59" s="152"/>
      <c r="AL59" s="113"/>
      <c r="AM59" s="89"/>
      <c r="AN59" s="89"/>
      <c r="AO59" s="89"/>
      <c r="AP59" s="89"/>
      <c r="AQ59" s="89"/>
      <c r="AR59" s="89"/>
    </row>
    <row r="60" spans="1:44" x14ac:dyDescent="0.2">
      <c r="A60" s="165"/>
      <c r="B60" s="185" t="str">
        <f>ctArbeitsgebiete!D12</f>
        <v>B04</v>
      </c>
      <c r="C60" s="193" t="str">
        <f>IF(ctArbeitsgebiete!E12&lt;&gt;"",ctArbeitsgebiete!E12,"")</f>
        <v/>
      </c>
      <c r="D60" s="194"/>
      <c r="E60" s="913"/>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322"/>
      <c r="AJ60" s="195">
        <f t="shared" si="14"/>
        <v>0</v>
      </c>
      <c r="AK60" s="152"/>
      <c r="AL60" s="113"/>
      <c r="AM60" s="89"/>
      <c r="AN60" s="89"/>
      <c r="AO60" s="89"/>
      <c r="AP60" s="89"/>
      <c r="AQ60" s="89"/>
      <c r="AR60" s="89"/>
    </row>
    <row r="61" spans="1:44" x14ac:dyDescent="0.2">
      <c r="A61" s="165"/>
      <c r="B61" s="185" t="str">
        <f>ctArbeitsgebiete!D13</f>
        <v>B05</v>
      </c>
      <c r="C61" s="193" t="str">
        <f>IF(ctArbeitsgebiete!E13&lt;&gt;"",ctArbeitsgebiete!E13,"")</f>
        <v/>
      </c>
      <c r="D61" s="194"/>
      <c r="E61" s="913"/>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322"/>
      <c r="AJ61" s="195">
        <f t="shared" si="14"/>
        <v>0</v>
      </c>
      <c r="AK61" s="152"/>
      <c r="AL61" s="113"/>
      <c r="AM61" s="89"/>
      <c r="AN61" s="89"/>
      <c r="AO61" s="89"/>
      <c r="AP61" s="89"/>
      <c r="AQ61" s="89"/>
      <c r="AR61" s="89"/>
    </row>
    <row r="62" spans="1:44" x14ac:dyDescent="0.2">
      <c r="A62" s="165"/>
      <c r="B62" s="185" t="str">
        <f>ctArbeitsgebiete!D14</f>
        <v>B06</v>
      </c>
      <c r="C62" s="193" t="str">
        <f>IF(ctArbeitsgebiete!E14&lt;&gt;"",ctArbeitsgebiete!E14,"")</f>
        <v/>
      </c>
      <c r="D62" s="194"/>
      <c r="E62" s="913"/>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322"/>
      <c r="AJ62" s="195">
        <f t="shared" si="14"/>
        <v>0</v>
      </c>
      <c r="AK62" s="152"/>
      <c r="AL62" s="113"/>
      <c r="AM62" s="89"/>
      <c r="AN62" s="89"/>
      <c r="AO62" s="89"/>
      <c r="AP62" s="89"/>
      <c r="AQ62" s="89"/>
      <c r="AR62" s="89"/>
    </row>
    <row r="63" spans="1:44" x14ac:dyDescent="0.2">
      <c r="A63" s="165"/>
      <c r="B63" s="185" t="str">
        <f>ctArbeitsgebiete!D15</f>
        <v>B07</v>
      </c>
      <c r="C63" s="193" t="str">
        <f>IF(ctArbeitsgebiete!E15&lt;&gt;"",ctArbeitsgebiete!E15,"")</f>
        <v/>
      </c>
      <c r="D63" s="194"/>
      <c r="E63" s="913"/>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322"/>
      <c r="AJ63" s="195">
        <f t="shared" si="14"/>
        <v>0</v>
      </c>
      <c r="AK63" s="152"/>
      <c r="AL63" s="113"/>
      <c r="AM63" s="89"/>
      <c r="AN63" s="89"/>
      <c r="AO63" s="89"/>
      <c r="AP63" s="89"/>
      <c r="AQ63" s="89"/>
      <c r="AR63" s="89"/>
    </row>
    <row r="64" spans="1:44" x14ac:dyDescent="0.2">
      <c r="A64" s="165"/>
      <c r="B64" s="185" t="str">
        <f>ctArbeitsgebiete!D16</f>
        <v>B08</v>
      </c>
      <c r="C64" s="193" t="str">
        <f>IF(ctArbeitsgebiete!E16&lt;&gt;"",ctArbeitsgebiete!E16,"")</f>
        <v/>
      </c>
      <c r="D64" s="194"/>
      <c r="E64" s="913"/>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322"/>
      <c r="AJ64" s="195">
        <f t="shared" si="14"/>
        <v>0</v>
      </c>
      <c r="AK64" s="152"/>
      <c r="AL64" s="113"/>
      <c r="AM64" s="89"/>
      <c r="AN64" s="89"/>
      <c r="AO64" s="89"/>
      <c r="AP64" s="89"/>
      <c r="AQ64" s="89"/>
      <c r="AR64" s="89"/>
    </row>
    <row r="65" spans="1:44" x14ac:dyDescent="0.2">
      <c r="A65" s="165"/>
      <c r="B65" s="185" t="str">
        <f>ctArbeitsgebiete!D17</f>
        <v>B09</v>
      </c>
      <c r="C65" s="193" t="str">
        <f>IF(ctArbeitsgebiete!E17&lt;&gt;"",ctArbeitsgebiete!E17,"")</f>
        <v/>
      </c>
      <c r="D65" s="194"/>
      <c r="E65" s="913"/>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322"/>
      <c r="AJ65" s="195">
        <f t="shared" si="14"/>
        <v>0</v>
      </c>
      <c r="AK65" s="152"/>
      <c r="AL65" s="113"/>
      <c r="AM65" s="89"/>
      <c r="AN65" s="89"/>
      <c r="AO65" s="89"/>
      <c r="AP65" s="89"/>
      <c r="AQ65" s="89"/>
      <c r="AR65" s="89"/>
    </row>
    <row r="66" spans="1:44" x14ac:dyDescent="0.2">
      <c r="A66" s="165"/>
      <c r="B66" s="185" t="str">
        <f>ctArbeitsgebiete!D18</f>
        <v>B10</v>
      </c>
      <c r="C66" s="193" t="str">
        <f>IF(ctArbeitsgebiete!E18&lt;&gt;"",ctArbeitsgebiete!E18,"")</f>
        <v/>
      </c>
      <c r="D66" s="194"/>
      <c r="E66" s="913"/>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322"/>
      <c r="AJ66" s="195">
        <f t="shared" si="14"/>
        <v>0</v>
      </c>
      <c r="AK66" s="152"/>
      <c r="AL66" s="113"/>
      <c r="AM66" s="89"/>
      <c r="AN66" s="89"/>
      <c r="AO66" s="89"/>
      <c r="AP66" s="89"/>
      <c r="AQ66" s="89"/>
      <c r="AR66" s="89"/>
    </row>
    <row r="67" spans="1:44" x14ac:dyDescent="0.2">
      <c r="A67" s="165"/>
      <c r="B67" s="185" t="str">
        <f>ctArbeitsgebiete!D19</f>
        <v>B11</v>
      </c>
      <c r="C67" s="193" t="str">
        <f>IF(ctArbeitsgebiete!E19&lt;&gt;"",ctArbeitsgebiete!E19,"")</f>
        <v/>
      </c>
      <c r="D67" s="194"/>
      <c r="E67" s="913"/>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322"/>
      <c r="AJ67" s="195">
        <f t="shared" si="14"/>
        <v>0</v>
      </c>
      <c r="AK67" s="152"/>
      <c r="AL67" s="113"/>
      <c r="AM67" s="89"/>
      <c r="AN67" s="89"/>
      <c r="AO67" s="89"/>
      <c r="AP67" s="89"/>
      <c r="AQ67" s="89"/>
      <c r="AR67" s="89"/>
    </row>
    <row r="68" spans="1:44" x14ac:dyDescent="0.2">
      <c r="A68" s="165"/>
      <c r="B68" s="189" t="str">
        <f>ctArbeitsgebiete!D20</f>
        <v>B12</v>
      </c>
      <c r="C68" s="196" t="str">
        <f>IF(ctArbeitsgebiete!E20&lt;&gt;"",ctArbeitsgebiete!E20,"")</f>
        <v/>
      </c>
      <c r="D68" s="197"/>
      <c r="E68" s="914"/>
      <c r="F68" s="915"/>
      <c r="G68" s="915"/>
      <c r="H68" s="915"/>
      <c r="I68" s="915"/>
      <c r="J68" s="915"/>
      <c r="K68" s="915"/>
      <c r="L68" s="915"/>
      <c r="M68" s="915"/>
      <c r="N68" s="915"/>
      <c r="O68" s="915"/>
      <c r="P68" s="915"/>
      <c r="Q68" s="915"/>
      <c r="R68" s="915"/>
      <c r="S68" s="915"/>
      <c r="T68" s="915"/>
      <c r="U68" s="915"/>
      <c r="V68" s="915"/>
      <c r="W68" s="915"/>
      <c r="X68" s="915"/>
      <c r="Y68" s="915"/>
      <c r="Z68" s="915"/>
      <c r="AA68" s="915"/>
      <c r="AB68" s="915"/>
      <c r="AC68" s="915"/>
      <c r="AD68" s="915"/>
      <c r="AE68" s="915"/>
      <c r="AF68" s="915"/>
      <c r="AG68" s="915"/>
      <c r="AH68" s="915"/>
      <c r="AI68" s="916"/>
      <c r="AJ68" s="198">
        <f t="shared" si="14"/>
        <v>0</v>
      </c>
      <c r="AK68" s="912"/>
      <c r="AL68" s="113"/>
      <c r="AM68" s="89"/>
      <c r="AN68" s="89"/>
      <c r="AO68" s="89"/>
      <c r="AP68" s="89"/>
      <c r="AQ68" s="89"/>
      <c r="AR68" s="89"/>
    </row>
    <row r="69" spans="1:44" x14ac:dyDescent="0.2">
      <c r="A69" s="165"/>
      <c r="B69" s="1066" t="str">
        <f>ctArbeitsgebiete!G9</f>
        <v>C01</v>
      </c>
      <c r="C69" s="1076" t="str">
        <f>IF(ctArbeitsgebiete!H9&lt;&gt;"",ctArbeitsgebiete!H9,"")</f>
        <v/>
      </c>
      <c r="D69" s="1077"/>
      <c r="E69" s="1069"/>
      <c r="F69" s="1070"/>
      <c r="G69" s="1070"/>
      <c r="H69" s="1070"/>
      <c r="I69" s="1070"/>
      <c r="J69" s="1070"/>
      <c r="K69" s="1070"/>
      <c r="L69" s="1070"/>
      <c r="M69" s="1070"/>
      <c r="N69" s="1070"/>
      <c r="O69" s="1070"/>
      <c r="P69" s="1070"/>
      <c r="Q69" s="1070"/>
      <c r="R69" s="1070"/>
      <c r="S69" s="1070"/>
      <c r="T69" s="1070"/>
      <c r="U69" s="1070"/>
      <c r="V69" s="1070"/>
      <c r="W69" s="1070"/>
      <c r="X69" s="1070"/>
      <c r="Y69" s="1070"/>
      <c r="Z69" s="1070"/>
      <c r="AA69" s="1070"/>
      <c r="AB69" s="1070"/>
      <c r="AC69" s="1070"/>
      <c r="AD69" s="1070"/>
      <c r="AE69" s="1070"/>
      <c r="AF69" s="1070"/>
      <c r="AG69" s="1070"/>
      <c r="AH69" s="1070"/>
      <c r="AI69" s="1071"/>
      <c r="AJ69" s="1078">
        <f t="shared" si="14"/>
        <v>0</v>
      </c>
      <c r="AK69" s="1060"/>
      <c r="AL69" s="113"/>
      <c r="AM69" s="89"/>
      <c r="AN69" s="89"/>
      <c r="AO69" s="89"/>
      <c r="AP69" s="89"/>
      <c r="AQ69" s="89"/>
      <c r="AR69" s="89"/>
    </row>
    <row r="70" spans="1:44" x14ac:dyDescent="0.2">
      <c r="A70" s="165"/>
      <c r="B70" s="185" t="str">
        <f>ctArbeitsgebiete!G10</f>
        <v>C02</v>
      </c>
      <c r="C70" s="199" t="str">
        <f>IF(ctArbeitsgebiete!H10&lt;&gt;"",ctArbeitsgebiete!H10,"")</f>
        <v/>
      </c>
      <c r="D70" s="200"/>
      <c r="E70" s="913"/>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322"/>
      <c r="AJ70" s="201">
        <f t="shared" si="14"/>
        <v>0</v>
      </c>
      <c r="AK70" s="152"/>
      <c r="AL70" s="113"/>
      <c r="AM70" s="89"/>
      <c r="AN70" s="89"/>
      <c r="AO70" s="89"/>
      <c r="AP70" s="89"/>
      <c r="AQ70" s="89"/>
      <c r="AR70" s="89"/>
    </row>
    <row r="71" spans="1:44" x14ac:dyDescent="0.2">
      <c r="A71" s="165"/>
      <c r="B71" s="185" t="str">
        <f>ctArbeitsgebiete!G11</f>
        <v>C03</v>
      </c>
      <c r="C71" s="199" t="str">
        <f>IF(ctArbeitsgebiete!H11&lt;&gt;"",ctArbeitsgebiete!H11,"")</f>
        <v/>
      </c>
      <c r="D71" s="200"/>
      <c r="E71" s="913"/>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322"/>
      <c r="AJ71" s="201">
        <f t="shared" si="14"/>
        <v>0</v>
      </c>
      <c r="AK71" s="152"/>
      <c r="AL71" s="113"/>
      <c r="AM71" s="89"/>
      <c r="AN71" s="89"/>
      <c r="AO71" s="89"/>
      <c r="AP71" s="89"/>
      <c r="AQ71" s="89"/>
      <c r="AR71" s="89"/>
    </row>
    <row r="72" spans="1:44" x14ac:dyDescent="0.2">
      <c r="A72" s="165"/>
      <c r="B72" s="185" t="str">
        <f>ctArbeitsgebiete!G12</f>
        <v>C04</v>
      </c>
      <c r="C72" s="199" t="str">
        <f>IF(ctArbeitsgebiete!H12&lt;&gt;"",ctArbeitsgebiete!H12,"")</f>
        <v/>
      </c>
      <c r="D72" s="200"/>
      <c r="E72" s="913"/>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322"/>
      <c r="AJ72" s="201">
        <f t="shared" si="14"/>
        <v>0</v>
      </c>
      <c r="AK72" s="152"/>
      <c r="AL72" s="113"/>
      <c r="AM72" s="89"/>
      <c r="AN72" s="89"/>
      <c r="AO72" s="89"/>
      <c r="AP72" s="89"/>
      <c r="AQ72" s="89"/>
      <c r="AR72" s="89"/>
    </row>
    <row r="73" spans="1:44" x14ac:dyDescent="0.2">
      <c r="A73" s="165"/>
      <c r="B73" s="185" t="str">
        <f>ctArbeitsgebiete!G13</f>
        <v>C05</v>
      </c>
      <c r="C73" s="199" t="str">
        <f>IF(ctArbeitsgebiete!H13&lt;&gt;"",ctArbeitsgebiete!H13,"")</f>
        <v/>
      </c>
      <c r="D73" s="200"/>
      <c r="E73" s="913"/>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322"/>
      <c r="AJ73" s="201">
        <f t="shared" si="14"/>
        <v>0</v>
      </c>
      <c r="AK73" s="152"/>
      <c r="AL73" s="113"/>
      <c r="AM73" s="89"/>
      <c r="AN73" s="89"/>
      <c r="AO73" s="89"/>
      <c r="AP73" s="89"/>
      <c r="AQ73" s="89"/>
      <c r="AR73" s="89"/>
    </row>
    <row r="74" spans="1:44" x14ac:dyDescent="0.2">
      <c r="A74" s="165"/>
      <c r="B74" s="185" t="str">
        <f>ctArbeitsgebiete!G14</f>
        <v>C06</v>
      </c>
      <c r="C74" s="199" t="str">
        <f>IF(ctArbeitsgebiete!H14&lt;&gt;"",ctArbeitsgebiete!H14,"")</f>
        <v/>
      </c>
      <c r="D74" s="200"/>
      <c r="E74" s="913"/>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322"/>
      <c r="AJ74" s="201">
        <f t="shared" si="14"/>
        <v>0</v>
      </c>
      <c r="AK74" s="152"/>
      <c r="AL74" s="113"/>
      <c r="AM74" s="89"/>
      <c r="AN74" s="89"/>
      <c r="AO74" s="89"/>
      <c r="AP74" s="89"/>
      <c r="AQ74" s="89"/>
      <c r="AR74" s="89"/>
    </row>
    <row r="75" spans="1:44" x14ac:dyDescent="0.2">
      <c r="A75" s="165"/>
      <c r="B75" s="185" t="str">
        <f>ctArbeitsgebiete!G15</f>
        <v>C07</v>
      </c>
      <c r="C75" s="199" t="str">
        <f>IF(ctArbeitsgebiete!H15&lt;&gt;"",ctArbeitsgebiete!H15,"")</f>
        <v/>
      </c>
      <c r="D75" s="200"/>
      <c r="E75" s="913"/>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322"/>
      <c r="AJ75" s="201">
        <f t="shared" si="14"/>
        <v>0</v>
      </c>
      <c r="AK75" s="152"/>
      <c r="AL75" s="113"/>
      <c r="AM75" s="89"/>
      <c r="AN75" s="89"/>
      <c r="AO75" s="89"/>
      <c r="AP75" s="89"/>
      <c r="AQ75" s="89"/>
      <c r="AR75" s="89"/>
    </row>
    <row r="76" spans="1:44" x14ac:dyDescent="0.2">
      <c r="A76" s="165"/>
      <c r="B76" s="189" t="str">
        <f>ctArbeitsgebiete!G16</f>
        <v>C08</v>
      </c>
      <c r="C76" s="202" t="str">
        <f>IF(ctArbeitsgebiete!H16&lt;&gt;"",ctArbeitsgebiete!H16,"")</f>
        <v/>
      </c>
      <c r="D76" s="203"/>
      <c r="E76" s="914"/>
      <c r="F76" s="915"/>
      <c r="G76" s="915"/>
      <c r="H76" s="915"/>
      <c r="I76" s="915"/>
      <c r="J76" s="915"/>
      <c r="K76" s="915"/>
      <c r="L76" s="915"/>
      <c r="M76" s="915"/>
      <c r="N76" s="915"/>
      <c r="O76" s="915"/>
      <c r="P76" s="915"/>
      <c r="Q76" s="915"/>
      <c r="R76" s="915"/>
      <c r="S76" s="915"/>
      <c r="T76" s="915"/>
      <c r="U76" s="915"/>
      <c r="V76" s="915"/>
      <c r="W76" s="915"/>
      <c r="X76" s="915"/>
      <c r="Y76" s="915"/>
      <c r="Z76" s="915"/>
      <c r="AA76" s="915"/>
      <c r="AB76" s="915"/>
      <c r="AC76" s="915"/>
      <c r="AD76" s="915"/>
      <c r="AE76" s="915"/>
      <c r="AF76" s="915"/>
      <c r="AG76" s="915"/>
      <c r="AH76" s="915"/>
      <c r="AI76" s="916"/>
      <c r="AJ76" s="204">
        <f t="shared" si="14"/>
        <v>0</v>
      </c>
      <c r="AK76" s="912"/>
      <c r="AL76" s="113"/>
      <c r="AM76" s="89"/>
      <c r="AN76" s="89"/>
      <c r="AO76" s="89"/>
      <c r="AP76" s="89"/>
      <c r="AQ76" s="89"/>
      <c r="AR76" s="89"/>
    </row>
    <row r="77" spans="1:44" x14ac:dyDescent="0.2">
      <c r="A77" s="165"/>
      <c r="B77" s="1066" t="str">
        <f>ctArbeitsgebiete!J9</f>
        <v>D01</v>
      </c>
      <c r="C77" s="1079" t="str">
        <f>IF(ctArbeitsgebiete!K9&lt;&gt;"",ctArbeitsgebiete!K9,"")</f>
        <v>DAG</v>
      </c>
      <c r="D77" s="1080"/>
      <c r="E77" s="1069"/>
      <c r="F77" s="1070"/>
      <c r="G77" s="1070"/>
      <c r="H77" s="1070"/>
      <c r="I77" s="1070"/>
      <c r="J77" s="1070"/>
      <c r="K77" s="1070"/>
      <c r="L77" s="1070"/>
      <c r="M77" s="1070"/>
      <c r="N77" s="1070"/>
      <c r="O77" s="1070"/>
      <c r="P77" s="1070"/>
      <c r="Q77" s="1070"/>
      <c r="R77" s="1070"/>
      <c r="S77" s="1070"/>
      <c r="T77" s="1070"/>
      <c r="U77" s="1070"/>
      <c r="V77" s="1070"/>
      <c r="W77" s="1070"/>
      <c r="X77" s="1070"/>
      <c r="Y77" s="1070"/>
      <c r="Z77" s="1070"/>
      <c r="AA77" s="1070"/>
      <c r="AB77" s="1070"/>
      <c r="AC77" s="1070"/>
      <c r="AD77" s="1070"/>
      <c r="AE77" s="1070"/>
      <c r="AF77" s="1070"/>
      <c r="AG77" s="1070"/>
      <c r="AH77" s="1070"/>
      <c r="AI77" s="1071"/>
      <c r="AJ77" s="1059">
        <f t="shared" si="14"/>
        <v>0</v>
      </c>
      <c r="AK77" s="1060"/>
      <c r="AL77" s="113"/>
      <c r="AM77" s="89"/>
      <c r="AN77" s="89"/>
      <c r="AO77" s="89"/>
      <c r="AP77" s="89"/>
      <c r="AQ77" s="89"/>
      <c r="AR77" s="89"/>
    </row>
    <row r="78" spans="1:44" x14ac:dyDescent="0.2">
      <c r="A78" s="165"/>
      <c r="B78" s="185" t="str">
        <f>ctArbeitsgebiete!J10</f>
        <v>D02</v>
      </c>
      <c r="C78" s="205" t="str">
        <f>IF(ctArbeitsgebiete!K10&lt;&gt;"",ctArbeitsgebiete!K10,"")</f>
        <v>Betriebsausflug</v>
      </c>
      <c r="D78" s="206"/>
      <c r="E78" s="913"/>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322"/>
      <c r="AJ78" s="174">
        <f t="shared" si="14"/>
        <v>0</v>
      </c>
      <c r="AK78" s="152"/>
      <c r="AL78" s="113"/>
      <c r="AM78" s="89"/>
      <c r="AN78" s="89"/>
      <c r="AO78" s="89"/>
      <c r="AP78" s="89"/>
      <c r="AQ78" s="89"/>
      <c r="AR78" s="89"/>
    </row>
    <row r="79" spans="1:44" x14ac:dyDescent="0.2">
      <c r="A79" s="165"/>
      <c r="B79" s="185" t="str">
        <f>ctArbeitsgebiete!J11</f>
        <v>D03</v>
      </c>
      <c r="C79" s="205" t="str">
        <f>IF(ctArbeitsgebiete!K11&lt;&gt;"",ctArbeitsgebiete!K11,"")</f>
        <v/>
      </c>
      <c r="D79" s="206"/>
      <c r="E79" s="913"/>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322"/>
      <c r="AJ79" s="174">
        <f t="shared" si="14"/>
        <v>0</v>
      </c>
      <c r="AK79" s="152"/>
      <c r="AL79" s="113"/>
      <c r="AM79" s="89"/>
      <c r="AN79" s="89"/>
      <c r="AO79" s="89"/>
      <c r="AP79" s="89"/>
      <c r="AQ79" s="89"/>
      <c r="AR79" s="89"/>
    </row>
    <row r="80" spans="1:44" x14ac:dyDescent="0.2">
      <c r="A80" s="165"/>
      <c r="B80" s="185" t="str">
        <f>ctArbeitsgebiete!J12</f>
        <v>D04</v>
      </c>
      <c r="C80" s="205" t="str">
        <f>IF(ctArbeitsgebiete!K12&lt;&gt;"",ctArbeitsgebiete!K12,"")</f>
        <v/>
      </c>
      <c r="D80" s="206"/>
      <c r="E80" s="913"/>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322"/>
      <c r="AJ80" s="174">
        <f t="shared" si="14"/>
        <v>0</v>
      </c>
      <c r="AK80" s="152"/>
      <c r="AL80" s="113"/>
      <c r="AM80" s="89"/>
      <c r="AN80" s="89"/>
      <c r="AO80" s="89"/>
      <c r="AP80" s="89"/>
      <c r="AQ80" s="89"/>
      <c r="AR80" s="89"/>
    </row>
    <row r="81" spans="1:44" x14ac:dyDescent="0.2">
      <c r="A81" s="165"/>
      <c r="B81" s="185" t="str">
        <f>ctArbeitsgebiete!J13</f>
        <v>D05</v>
      </c>
      <c r="C81" s="205" t="str">
        <f>IF(ctArbeitsgebiete!K13&lt;&gt;"",ctArbeitsgebiete!K13,"")</f>
        <v/>
      </c>
      <c r="D81" s="206"/>
      <c r="E81" s="913"/>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322"/>
      <c r="AJ81" s="174">
        <f t="shared" si="14"/>
        <v>0</v>
      </c>
      <c r="AK81" s="152"/>
      <c r="AL81" s="113"/>
      <c r="AM81" s="89"/>
      <c r="AN81" s="89"/>
      <c r="AO81" s="89"/>
      <c r="AP81" s="89"/>
      <c r="AQ81" s="89"/>
      <c r="AR81" s="89"/>
    </row>
    <row r="82" spans="1:44" x14ac:dyDescent="0.2">
      <c r="A82" s="165"/>
      <c r="B82" s="185" t="str">
        <f>ctArbeitsgebiete!J14</f>
        <v>D06</v>
      </c>
      <c r="C82" s="205" t="str">
        <f>IF(ctArbeitsgebiete!K14&lt;&gt;"",ctArbeitsgebiete!K14,"")</f>
        <v/>
      </c>
      <c r="D82" s="206"/>
      <c r="E82" s="913"/>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322"/>
      <c r="AJ82" s="174">
        <f t="shared" si="14"/>
        <v>0</v>
      </c>
      <c r="AK82" s="152"/>
      <c r="AL82" s="113"/>
      <c r="AM82" s="89"/>
      <c r="AN82" s="89"/>
      <c r="AO82" s="89"/>
      <c r="AP82" s="89"/>
      <c r="AQ82" s="89"/>
      <c r="AR82" s="89"/>
    </row>
    <row r="83" spans="1:44" x14ac:dyDescent="0.2">
      <c r="A83" s="165"/>
      <c r="B83" s="185" t="str">
        <f>ctArbeitsgebiete!J15</f>
        <v>D07</v>
      </c>
      <c r="C83" s="205" t="str">
        <f>IF(ctArbeitsgebiete!K15&lt;&gt;"",ctArbeitsgebiete!K15,"")</f>
        <v/>
      </c>
      <c r="D83" s="206"/>
      <c r="E83" s="913"/>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322"/>
      <c r="AJ83" s="174">
        <f t="shared" si="14"/>
        <v>0</v>
      </c>
      <c r="AK83" s="152"/>
      <c r="AL83" s="113"/>
      <c r="AM83" s="89"/>
      <c r="AN83" s="89"/>
      <c r="AO83" s="89"/>
      <c r="AP83" s="89"/>
      <c r="AQ83" s="89"/>
      <c r="AR83" s="89"/>
    </row>
    <row r="84" spans="1:44" ht="13.5" thickBot="1" x14ac:dyDescent="0.25">
      <c r="A84" s="165"/>
      <c r="B84" s="189" t="str">
        <f>ctArbeitsgebiete!J16</f>
        <v>D08</v>
      </c>
      <c r="C84" s="207" t="str">
        <f>IF(ctArbeitsgebiete!K16&lt;&gt;"",ctArbeitsgebiete!K16,"")</f>
        <v/>
      </c>
      <c r="D84" s="208"/>
      <c r="E84" s="925"/>
      <c r="F84" s="926"/>
      <c r="G84" s="926"/>
      <c r="H84" s="926"/>
      <c r="I84" s="926"/>
      <c r="J84" s="926"/>
      <c r="K84" s="926"/>
      <c r="L84" s="926"/>
      <c r="M84" s="926"/>
      <c r="N84" s="926"/>
      <c r="O84" s="926"/>
      <c r="P84" s="926"/>
      <c r="Q84" s="926"/>
      <c r="R84" s="926"/>
      <c r="S84" s="926"/>
      <c r="T84" s="926"/>
      <c r="U84" s="926"/>
      <c r="V84" s="926"/>
      <c r="W84" s="926"/>
      <c r="X84" s="926"/>
      <c r="Y84" s="926"/>
      <c r="Z84" s="926"/>
      <c r="AA84" s="926"/>
      <c r="AB84" s="926"/>
      <c r="AC84" s="926"/>
      <c r="AD84" s="926"/>
      <c r="AE84" s="926"/>
      <c r="AF84" s="926"/>
      <c r="AG84" s="926"/>
      <c r="AH84" s="926"/>
      <c r="AI84" s="927"/>
      <c r="AJ84" s="142">
        <f t="shared" si="14"/>
        <v>0</v>
      </c>
      <c r="AK84" s="912"/>
      <c r="AL84" s="113"/>
      <c r="AM84" s="89"/>
      <c r="AN84" s="89"/>
      <c r="AO84" s="89"/>
      <c r="AP84" s="89"/>
      <c r="AQ84" s="89"/>
      <c r="AR84" s="89"/>
    </row>
    <row r="85" spans="1:44" ht="22.5" hidden="1" customHeight="1" outlineLevel="1" thickBot="1" x14ac:dyDescent="0.25">
      <c r="A85" s="8" t="s">
        <v>424</v>
      </c>
      <c r="B85" s="928"/>
      <c r="C85" s="929" t="s">
        <v>433</v>
      </c>
      <c r="D85" s="930"/>
      <c r="E85" s="931">
        <f>IF(AND(E86="JA",E14&gt;=E16),IF(Eingabeblatt!$D$7="JA",(E14-E16)*1.25,E14-E16),IF(AND(E86="JA",Eingabeblatt!$I$10="NEIN"),E14-E16,0))</f>
        <v>0</v>
      </c>
      <c r="F85" s="932">
        <f>IF(AND(F86="JA",F14&gt;=F16),IF(Eingabeblatt!$D$7="JA",(F14-F16)*1.25,F14-F16),IF(AND(F86="JA",Eingabeblatt!$I$10="NEIN"),F14-F16,0))</f>
        <v>0</v>
      </c>
      <c r="G85" s="932">
        <f>IF(AND(G86="JA",G14&gt;=G16),IF(Eingabeblatt!$D$7="JA",(G14-G16)*1.25,G14-G16),IF(AND(G86="JA",Eingabeblatt!$I$10="NEIN"),G14-G16,0))</f>
        <v>0</v>
      </c>
      <c r="H85" s="932">
        <f>IF(AND(H86="JA",H14&gt;=H16),IF(Eingabeblatt!$D$7="JA",(H14-H16)*1.25,H14-H16),IF(AND(H86="JA",Eingabeblatt!$I$10="NEIN"),H14-H16,0))</f>
        <v>0</v>
      </c>
      <c r="I85" s="932">
        <f>IF(AND(I86="JA",I14&gt;=I16),IF(Eingabeblatt!$D$7="JA",(I14-I16)*1.25,I14-I16),IF(AND(I86="JA",Eingabeblatt!$I$10="NEIN"),I14-I16,0))</f>
        <v>0</v>
      </c>
      <c r="J85" s="932">
        <f>IF(AND(J86="JA",J14&gt;=J16),IF(Eingabeblatt!$D$7="JA",(J14-J16)*1.25,J14-J16),IF(AND(J86="JA",Eingabeblatt!$I$10="NEIN"),J14-J16,0))</f>
        <v>0</v>
      </c>
      <c r="K85" s="932">
        <f>IF(AND(K86="JA",K14&gt;=K16),IF(Eingabeblatt!$D$7="JA",(K14-K16)*1.25,K14-K16),IF(AND(K86="JA",Eingabeblatt!$I$10="NEIN"),K14-K16,0))</f>
        <v>0</v>
      </c>
      <c r="L85" s="932">
        <f>IF(AND(L86="JA",L14&gt;=L16),IF(Eingabeblatt!$D$7="JA",(L14-L16)*1.25,L14-L16),IF(AND(L86="JA",Eingabeblatt!$I$10="NEIN"),L14-L16,0))</f>
        <v>0</v>
      </c>
      <c r="M85" s="932">
        <f>IF(AND(M86="JA",M14&gt;=M16),IF(Eingabeblatt!$D$7="JA",(M14-M16)*1.25,M14-M16),IF(AND(M86="JA",Eingabeblatt!$I$10="NEIN"),M14-M16,0))</f>
        <v>0</v>
      </c>
      <c r="N85" s="932">
        <f>IF(AND(N86="JA",N14&gt;=N16),IF(Eingabeblatt!$D$7="JA",(N14-N16)*1.25,N14-N16),IF(AND(N86="JA",Eingabeblatt!$I$10="NEIN"),N14-N16,0))</f>
        <v>0</v>
      </c>
      <c r="O85" s="932">
        <f>IF(AND(O86="JA",O14&gt;=O16),IF(Eingabeblatt!$D$7="JA",(O14-O16)*1.25,O14-O16),IF(AND(O86="JA",Eingabeblatt!$I$10="NEIN"),O14-O16,0))</f>
        <v>0</v>
      </c>
      <c r="P85" s="932">
        <f>IF(AND(P86="JA",P14&gt;=P16),IF(Eingabeblatt!$D$7="JA",(P14-P16)*1.25,P14-P16),IF(AND(P86="JA",Eingabeblatt!$I$10="NEIN"),P14-P16,0))</f>
        <v>0</v>
      </c>
      <c r="Q85" s="932">
        <f>IF(AND(Q86="JA",Q14&gt;=Q16),IF(Eingabeblatt!$D$7="JA",(Q14-Q16)*1.25,Q14-Q16),IF(AND(Q86="JA",Eingabeblatt!$I$10="NEIN"),Q14-Q16,0))</f>
        <v>0</v>
      </c>
      <c r="R85" s="932">
        <f>IF(AND(R86="JA",R14&gt;=R16),IF(Eingabeblatt!$D$7="JA",(R14-R16)*1.25,R14-R16),IF(AND(R86="JA",Eingabeblatt!$I$10="NEIN"),R14-R16,0))</f>
        <v>0</v>
      </c>
      <c r="S85" s="932">
        <f>IF(AND(S86="JA",S14&gt;=S16),IF(Eingabeblatt!$D$7="JA",(S14-S16)*1.25,S14-S16),IF(AND(S86="JA",Eingabeblatt!$I$10="NEIN"),S14-S16,0))</f>
        <v>0</v>
      </c>
      <c r="T85" s="932">
        <f>IF(AND(T86="JA",T14&gt;=T16),IF(Eingabeblatt!$D$7="JA",(T14-T16)*1.25,T14-T16),IF(AND(T86="JA",Eingabeblatt!$I$10="NEIN"),T14-T16,0))</f>
        <v>0</v>
      </c>
      <c r="U85" s="932">
        <f>IF(AND(U86="JA",U14&gt;=U16),IF(Eingabeblatt!$D$7="JA",(U14-U16)*1.25,U14-U16),IF(AND(U86="JA",Eingabeblatt!$I$10="NEIN"),U14-U16,0))</f>
        <v>0</v>
      </c>
      <c r="V85" s="932">
        <f>IF(AND(V86="JA",V14&gt;=V16),IF(Eingabeblatt!$D$7="JA",(V14-V16)*1.25,V14-V16),IF(AND(V86="JA",Eingabeblatt!$I$10="NEIN"),V14-V16,0))</f>
        <v>0</v>
      </c>
      <c r="W85" s="932">
        <f>IF(AND(W86="JA",W14&gt;=W16),IF(Eingabeblatt!$D$7="JA",(W14-W16)*1.25,W14-W16),IF(AND(W86="JA",Eingabeblatt!$I$10="NEIN"),W14-W16,0))</f>
        <v>0</v>
      </c>
      <c r="X85" s="932">
        <f>IF(AND(X86="JA",X14&gt;=X16),IF(Eingabeblatt!$D$7="JA",(X14-X16)*1.25,X14-X16),IF(AND(X86="JA",Eingabeblatt!$I$10="NEIN"),X14-X16,0))</f>
        <v>0</v>
      </c>
      <c r="Y85" s="932">
        <f>IF(AND(Y86="JA",Y14&gt;=Y16),IF(Eingabeblatt!$D$7="JA",(Y14-Y16)*1.25,Y14-Y16),IF(AND(Y86="JA",Eingabeblatt!$I$10="NEIN"),Y14-Y16,0))</f>
        <v>0</v>
      </c>
      <c r="Z85" s="932">
        <f>IF(AND(Z86="JA",Z14&gt;=Z16),IF(Eingabeblatt!$D$7="JA",(Z14-Z16)*1.25,Z14-Z16),IF(AND(Z86="JA",Eingabeblatt!$I$10="NEIN"),Z14-Z16,0))</f>
        <v>0</v>
      </c>
      <c r="AA85" s="932">
        <f>IF(AND(AA86="JA",AA14&gt;=AA16),IF(Eingabeblatt!$D$7="JA",(AA14-AA16)*1.25,AA14-AA16),IF(AND(AA86="JA",Eingabeblatt!$I$10="NEIN"),AA14-AA16,0))</f>
        <v>0</v>
      </c>
      <c r="AB85" s="932">
        <f>IF(AND(AB86="JA",AB14&gt;=AB16),IF(Eingabeblatt!$D$7="JA",(AB14-AB16)*1.25,AB14-AB16),IF(AND(AB86="JA",Eingabeblatt!$I$10="NEIN"),AB14-AB16,0))</f>
        <v>0</v>
      </c>
      <c r="AC85" s="932">
        <f>IF(AND(AC86="JA",AC14&gt;=AC16),IF(Eingabeblatt!$D$7="JA",(AC14-AC16)*1.25,AC14-AC16),IF(AND(AC86="JA",Eingabeblatt!$I$10="NEIN"),AC14-AC16,0))</f>
        <v>0</v>
      </c>
      <c r="AD85" s="932">
        <f>IF(AND(AD86="JA",AD14&gt;=AD16),IF(Eingabeblatt!$D$7="JA",(AD14-AD16)*1.25,AD14-AD16),IF(AND(AD86="JA",Eingabeblatt!$I$10="NEIN"),AD14-AD16,0))</f>
        <v>0</v>
      </c>
      <c r="AE85" s="932">
        <f>IF(AND(AE86="JA",AE14&gt;=AE16),IF(Eingabeblatt!$D$7="JA",(AE14-AE16)*1.25,AE14-AE16),IF(AND(AE86="JA",Eingabeblatt!$I$10="NEIN"),AE14-AE16,0))</f>
        <v>0</v>
      </c>
      <c r="AF85" s="932">
        <f>IF(AND(AF86="JA",AF14&gt;=AF16),IF(Eingabeblatt!$D$7="JA",(AF14-AF16)*1.25,AF14-AF16),IF(AND(AF86="JA",Eingabeblatt!$I$10="NEIN"),AF14-AF16,0))</f>
        <v>0</v>
      </c>
      <c r="AG85" s="932">
        <f>IF(AND(AG86="JA",AG14&gt;=AG16),IF(Eingabeblatt!$D$7="JA",(AG14-AG16)*1.25,AG14-AG16),IF(AND(AG86="JA",Eingabeblatt!$I$10="NEIN"),AG14-AG16,0))</f>
        <v>0</v>
      </c>
      <c r="AH85" s="932">
        <f>IF(AND(AH86="JA",AH14&gt;=AH16),IF(Eingabeblatt!$D$7="JA",(AH14-AH16)*1.25,AH14-AH16),IF(AND(AH86="JA",Eingabeblatt!$I$10="NEIN"),AH14-AH16,0))</f>
        <v>0</v>
      </c>
      <c r="AI85" s="933">
        <f>IF(AND(AI86="JA",AI14&gt;=AI16),IF(Eingabeblatt!$D$7="JA",(AI14-AI16)*1.25,AI14-AI16),IF(AND(AI86="JA",Eingabeblatt!$I$10="NEIN"),AI14-AI16,0))</f>
        <v>0</v>
      </c>
      <c r="AJ85" s="1081">
        <f>SUM(E85:AI85)</f>
        <v>0</v>
      </c>
      <c r="AK85" s="990">
        <f>ROUND(B85+D85+AJ85,8)</f>
        <v>0</v>
      </c>
      <c r="AL85" s="141" t="s">
        <v>434</v>
      </c>
      <c r="AM85" s="91"/>
      <c r="AN85" s="113"/>
      <c r="AO85" s="89"/>
      <c r="AP85" s="89"/>
      <c r="AQ85" s="89"/>
      <c r="AR85" s="89"/>
    </row>
    <row r="86" spans="1:44" ht="15" hidden="1" customHeight="1" outlineLevel="1" x14ac:dyDescent="0.2">
      <c r="A86" s="8" t="s">
        <v>424</v>
      </c>
      <c r="B86" s="934"/>
      <c r="C86" s="935" t="s">
        <v>435</v>
      </c>
      <c r="D86" s="936"/>
      <c r="E86" s="937" t="s">
        <v>436</v>
      </c>
      <c r="F86" s="938" t="s">
        <v>436</v>
      </c>
      <c r="G86" s="938" t="s">
        <v>436</v>
      </c>
      <c r="H86" s="938" t="s">
        <v>436</v>
      </c>
      <c r="I86" s="938" t="s">
        <v>436</v>
      </c>
      <c r="J86" s="938" t="s">
        <v>436</v>
      </c>
      <c r="K86" s="938" t="s">
        <v>436</v>
      </c>
      <c r="L86" s="938" t="s">
        <v>436</v>
      </c>
      <c r="M86" s="938" t="s">
        <v>436</v>
      </c>
      <c r="N86" s="938" t="s">
        <v>436</v>
      </c>
      <c r="O86" s="938" t="s">
        <v>436</v>
      </c>
      <c r="P86" s="938" t="s">
        <v>436</v>
      </c>
      <c r="Q86" s="938" t="s">
        <v>436</v>
      </c>
      <c r="R86" s="938" t="s">
        <v>436</v>
      </c>
      <c r="S86" s="938" t="s">
        <v>436</v>
      </c>
      <c r="T86" s="938" t="s">
        <v>436</v>
      </c>
      <c r="U86" s="938" t="s">
        <v>436</v>
      </c>
      <c r="V86" s="938" t="s">
        <v>436</v>
      </c>
      <c r="W86" s="938" t="s">
        <v>436</v>
      </c>
      <c r="X86" s="938" t="s">
        <v>436</v>
      </c>
      <c r="Y86" s="938" t="s">
        <v>436</v>
      </c>
      <c r="Z86" s="938" t="s">
        <v>436</v>
      </c>
      <c r="AA86" s="938" t="s">
        <v>436</v>
      </c>
      <c r="AB86" s="938" t="s">
        <v>436</v>
      </c>
      <c r="AC86" s="938" t="s">
        <v>436</v>
      </c>
      <c r="AD86" s="938" t="s">
        <v>436</v>
      </c>
      <c r="AE86" s="938" t="s">
        <v>436</v>
      </c>
      <c r="AF86" s="938" t="s">
        <v>436</v>
      </c>
      <c r="AG86" s="938" t="s">
        <v>436</v>
      </c>
      <c r="AH86" s="938" t="s">
        <v>436</v>
      </c>
      <c r="AI86" s="939" t="s">
        <v>436</v>
      </c>
      <c r="AK86" s="210"/>
      <c r="AL86" s="141" t="s">
        <v>437</v>
      </c>
      <c r="AM86" s="89"/>
      <c r="AN86" s="113"/>
      <c r="AO86" s="89"/>
      <c r="AP86" s="89"/>
      <c r="AQ86" s="89"/>
      <c r="AR86" s="89"/>
    </row>
    <row r="87" spans="1:44" ht="15" hidden="1" customHeight="1" outlineLevel="1" x14ac:dyDescent="0.2">
      <c r="A87" s="8" t="s">
        <v>424</v>
      </c>
      <c r="B87" s="934"/>
      <c r="C87" s="934" t="str">
        <f>"Zuschlagsber. = " &amp; Eingabeblatt!$D$7</f>
        <v>Zuschlagsber. = NEIN</v>
      </c>
      <c r="D87" s="936"/>
      <c r="E87" s="940"/>
      <c r="F87" s="941"/>
      <c r="G87" s="941"/>
      <c r="H87" s="941"/>
      <c r="I87" s="941"/>
      <c r="J87" s="941"/>
      <c r="K87" s="941"/>
      <c r="L87" s="941"/>
      <c r="M87" s="941"/>
      <c r="N87" s="941"/>
      <c r="O87" s="941"/>
      <c r="P87" s="941"/>
      <c r="Q87" s="941"/>
      <c r="R87" s="941"/>
      <c r="S87" s="941"/>
      <c r="T87" s="941"/>
      <c r="U87" s="941"/>
      <c r="V87" s="941"/>
      <c r="W87" s="941"/>
      <c r="X87" s="941"/>
      <c r="Y87" s="941"/>
      <c r="Z87" s="941"/>
      <c r="AA87" s="941"/>
      <c r="AB87" s="941"/>
      <c r="AC87" s="941"/>
      <c r="AD87" s="941"/>
      <c r="AE87" s="941"/>
      <c r="AF87" s="941"/>
      <c r="AG87" s="941"/>
      <c r="AH87" s="941"/>
      <c r="AI87" s="942"/>
      <c r="AK87" s="210"/>
      <c r="AL87" s="113"/>
      <c r="AM87" s="113"/>
      <c r="AN87" s="113"/>
      <c r="AO87" s="89"/>
      <c r="AP87" s="89"/>
      <c r="AQ87" s="89"/>
      <c r="AR87" s="89"/>
    </row>
    <row r="88" spans="1:44" hidden="1" outlineLevel="1" collapsed="1" x14ac:dyDescent="0.2">
      <c r="E88" s="323"/>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5"/>
      <c r="AK88" s="211"/>
      <c r="AL88" s="113"/>
      <c r="AM88" s="89"/>
      <c r="AN88" s="113"/>
      <c r="AO88" s="89"/>
      <c r="AP88" s="89"/>
      <c r="AQ88" s="89"/>
      <c r="AR88" s="89"/>
    </row>
    <row r="89" spans="1:44" ht="12.75" hidden="1" customHeight="1" outlineLevel="1" x14ac:dyDescent="0.2">
      <c r="C89" s="212"/>
      <c r="E89" s="326"/>
      <c r="F89" s="324"/>
      <c r="G89" s="324"/>
      <c r="H89" s="324"/>
      <c r="I89" s="324"/>
      <c r="J89" s="324"/>
      <c r="K89" s="324"/>
      <c r="L89" s="324"/>
      <c r="M89" s="324"/>
      <c r="N89" s="324" t="s">
        <v>438</v>
      </c>
      <c r="O89" s="324"/>
      <c r="P89" s="324"/>
      <c r="Q89" s="324"/>
      <c r="R89" s="324"/>
      <c r="S89" s="324"/>
      <c r="T89" s="324"/>
      <c r="U89" s="324"/>
      <c r="V89" s="324"/>
      <c r="W89" s="324"/>
      <c r="X89" s="324"/>
      <c r="Y89" s="324"/>
      <c r="Z89" s="324"/>
      <c r="AA89" s="324"/>
      <c r="AB89" s="324"/>
      <c r="AC89" s="324"/>
      <c r="AD89" s="324"/>
      <c r="AE89" s="324"/>
      <c r="AF89" s="324"/>
      <c r="AG89" s="324"/>
      <c r="AH89" s="324"/>
      <c r="AI89" s="325"/>
      <c r="AK89" s="210"/>
      <c r="AL89" s="113"/>
      <c r="AM89" s="89"/>
      <c r="AN89" s="89"/>
      <c r="AO89" s="89"/>
      <c r="AP89" s="89"/>
      <c r="AQ89" s="89"/>
      <c r="AR89" s="89"/>
    </row>
    <row r="90" spans="1:44" ht="28.5" hidden="1" customHeight="1" outlineLevel="1" x14ac:dyDescent="0.2">
      <c r="C90" s="213" t="s">
        <v>439</v>
      </c>
      <c r="E90" s="326"/>
      <c r="F90" s="324"/>
      <c r="G90" s="324"/>
      <c r="H90" s="324"/>
      <c r="I90" s="324"/>
      <c r="J90" s="324"/>
      <c r="K90" s="327"/>
      <c r="L90" s="327"/>
      <c r="M90" s="327"/>
      <c r="N90" s="324"/>
      <c r="O90" s="324"/>
      <c r="P90" s="324"/>
      <c r="Q90" s="324"/>
      <c r="R90" s="324"/>
      <c r="S90" s="324"/>
      <c r="T90" s="324"/>
      <c r="U90" s="324"/>
      <c r="V90" s="324"/>
      <c r="W90" s="324"/>
      <c r="X90" s="324"/>
      <c r="Y90" s="324"/>
      <c r="Z90" s="324"/>
      <c r="AA90" s="324"/>
      <c r="AB90" s="324"/>
      <c r="AC90" s="324"/>
      <c r="AD90" s="324"/>
      <c r="AE90" s="324"/>
      <c r="AF90" s="324"/>
      <c r="AG90" s="324"/>
      <c r="AH90" s="324"/>
      <c r="AI90" s="325"/>
      <c r="AK90" s="210"/>
      <c r="AL90" s="113"/>
      <c r="AM90" s="89"/>
      <c r="AN90" s="89"/>
      <c r="AO90" s="89"/>
      <c r="AP90" s="89"/>
      <c r="AQ90" s="89"/>
      <c r="AR90" s="89"/>
    </row>
    <row r="91" spans="1:44" ht="28.5" hidden="1" customHeight="1" outlineLevel="1" thickBot="1" x14ac:dyDescent="0.3">
      <c r="C91" s="214" t="s">
        <v>440</v>
      </c>
      <c r="D91" s="215"/>
      <c r="E91" s="236"/>
      <c r="F91" s="327"/>
      <c r="G91" s="327"/>
      <c r="H91" s="327"/>
      <c r="I91" s="327"/>
      <c r="J91" s="327"/>
      <c r="K91" s="327"/>
      <c r="L91" s="327"/>
      <c r="M91" s="327"/>
      <c r="N91" s="327"/>
      <c r="O91" s="327"/>
      <c r="P91" s="327"/>
      <c r="Q91" s="327"/>
      <c r="R91" s="327"/>
      <c r="S91" s="327"/>
      <c r="T91" s="327"/>
      <c r="U91" s="328" t="s">
        <v>441</v>
      </c>
      <c r="V91" s="327"/>
      <c r="W91" s="327"/>
      <c r="X91" s="327"/>
      <c r="Y91" s="327"/>
      <c r="Z91" s="327"/>
      <c r="AA91" s="327"/>
      <c r="AB91" s="327"/>
      <c r="AC91" s="327"/>
      <c r="AD91" s="327"/>
      <c r="AE91" s="327"/>
      <c r="AF91" s="328" t="s">
        <v>442</v>
      </c>
      <c r="AG91" s="327"/>
      <c r="AH91" s="943"/>
      <c r="AI91" s="329"/>
      <c r="AJ91" s="88"/>
      <c r="AK91" s="216"/>
      <c r="AL91" s="113"/>
      <c r="AM91" s="89"/>
      <c r="AN91" s="89"/>
      <c r="AO91" s="89"/>
      <c r="AP91" s="89"/>
      <c r="AQ91" s="89"/>
      <c r="AR91" s="89"/>
    </row>
    <row r="92" spans="1:44" ht="28.5" hidden="1" customHeight="1" outlineLevel="1" thickBot="1" x14ac:dyDescent="0.25">
      <c r="C92" s="217" t="s">
        <v>443</v>
      </c>
      <c r="E92" s="326"/>
      <c r="F92" s="324"/>
      <c r="G92" s="324"/>
      <c r="H92" s="324"/>
      <c r="I92" s="330"/>
      <c r="J92" s="324"/>
      <c r="K92" s="327"/>
      <c r="L92" s="327"/>
      <c r="M92" s="327"/>
      <c r="N92" s="324"/>
      <c r="O92" s="324"/>
      <c r="P92" s="324"/>
      <c r="Q92" s="324"/>
      <c r="R92" s="324"/>
      <c r="S92" s="324"/>
      <c r="T92" s="324"/>
      <c r="U92" s="324"/>
      <c r="V92" s="324"/>
      <c r="W92" s="324"/>
      <c r="X92" s="324"/>
      <c r="Y92" s="324"/>
      <c r="Z92" s="324"/>
      <c r="AA92" s="324"/>
      <c r="AB92" s="324"/>
      <c r="AC92" s="324"/>
      <c r="AD92" s="324"/>
      <c r="AE92" s="324"/>
      <c r="AF92" s="324"/>
      <c r="AG92" s="324"/>
      <c r="AH92" s="324"/>
      <c r="AI92" s="325"/>
      <c r="AK92" s="210"/>
      <c r="AL92" s="113"/>
      <c r="AM92" s="89"/>
      <c r="AN92" s="89"/>
      <c r="AO92" s="89"/>
      <c r="AP92" s="89"/>
      <c r="AQ92" s="89"/>
      <c r="AR92" s="89"/>
    </row>
    <row r="93" spans="1:44" ht="28.5" hidden="1" customHeight="1" outlineLevel="1" x14ac:dyDescent="0.2">
      <c r="C93" s="217"/>
      <c r="E93" s="326"/>
      <c r="F93" s="324"/>
      <c r="G93" s="324"/>
      <c r="H93" s="324"/>
      <c r="I93" s="324"/>
      <c r="J93" s="324"/>
      <c r="K93" s="327"/>
      <c r="L93" s="327"/>
      <c r="M93" s="327"/>
      <c r="N93" s="324"/>
      <c r="O93" s="324"/>
      <c r="P93" s="324"/>
      <c r="Q93" s="324"/>
      <c r="R93" s="324"/>
      <c r="S93" s="324"/>
      <c r="T93" s="324"/>
      <c r="U93" s="324"/>
      <c r="V93" s="324"/>
      <c r="W93" s="324"/>
      <c r="X93" s="324"/>
      <c r="Y93" s="324"/>
      <c r="Z93" s="324"/>
      <c r="AA93" s="324"/>
      <c r="AB93" s="324"/>
      <c r="AC93" s="324"/>
      <c r="AD93" s="324"/>
      <c r="AE93" s="324"/>
      <c r="AF93" s="324"/>
      <c r="AG93" s="324"/>
      <c r="AH93" s="324"/>
      <c r="AI93" s="325"/>
      <c r="AK93" s="210"/>
      <c r="AL93" s="113"/>
      <c r="AM93" s="89"/>
      <c r="AN93" s="89"/>
      <c r="AO93" s="89"/>
      <c r="AP93" s="89"/>
      <c r="AQ93" s="89"/>
      <c r="AR93" s="89"/>
    </row>
    <row r="94" spans="1:44" collapsed="1" x14ac:dyDescent="0.2">
      <c r="A94" s="165"/>
      <c r="B94" s="185"/>
      <c r="C94" s="340" t="str">
        <f>IF(ctArbeitsgebiete!H20&lt;&gt;"",ctArbeitsgebiete!H20,"")</f>
        <v/>
      </c>
      <c r="D94" s="334"/>
      <c r="E94" s="944"/>
      <c r="F94" s="945"/>
      <c r="G94" s="945"/>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6"/>
      <c r="AJ94" s="1082">
        <f>SUM(E94:AI94)</f>
        <v>0</v>
      </c>
      <c r="AK94" s="152"/>
      <c r="AL94" s="113"/>
      <c r="AM94" s="89"/>
      <c r="AN94" s="89"/>
      <c r="AO94" s="89"/>
      <c r="AP94" s="89"/>
      <c r="AQ94" s="89"/>
      <c r="AR94" s="89"/>
    </row>
    <row r="95" spans="1:44" x14ac:dyDescent="0.2">
      <c r="A95" s="165"/>
      <c r="B95" s="185"/>
      <c r="C95" s="340" t="str">
        <f>IF(ctArbeitsgebiete!H21&lt;&gt;"",ctArbeitsgebiete!H21,"")</f>
        <v/>
      </c>
      <c r="D95" s="334"/>
      <c r="E95" s="944"/>
      <c r="F95" s="945"/>
      <c r="G95" s="945"/>
      <c r="H95" s="945"/>
      <c r="I95" s="945"/>
      <c r="J95" s="945"/>
      <c r="K95" s="945"/>
      <c r="L95" s="945"/>
      <c r="M95" s="945"/>
      <c r="N95" s="945"/>
      <c r="O95" s="945"/>
      <c r="P95" s="945"/>
      <c r="Q95" s="945"/>
      <c r="R95" s="945"/>
      <c r="S95" s="945"/>
      <c r="T95" s="945"/>
      <c r="U95" s="945"/>
      <c r="V95" s="945"/>
      <c r="W95" s="945"/>
      <c r="X95" s="945"/>
      <c r="Y95" s="945"/>
      <c r="Z95" s="945"/>
      <c r="AA95" s="945"/>
      <c r="AB95" s="945"/>
      <c r="AC95" s="945"/>
      <c r="AD95" s="945"/>
      <c r="AE95" s="945"/>
      <c r="AF95" s="945"/>
      <c r="AG95" s="945"/>
      <c r="AH95" s="945"/>
      <c r="AI95" s="946"/>
      <c r="AJ95" s="338">
        <f t="shared" ref="AJ95:AJ105" si="15">SUM(E95:AI95)</f>
        <v>0</v>
      </c>
      <c r="AK95" s="152"/>
      <c r="AL95" s="113"/>
      <c r="AM95" s="89"/>
      <c r="AN95" s="89"/>
      <c r="AO95" s="89"/>
      <c r="AP95" s="89"/>
      <c r="AQ95" s="89"/>
      <c r="AR95" s="89"/>
    </row>
    <row r="96" spans="1:44" x14ac:dyDescent="0.2">
      <c r="A96" s="165"/>
      <c r="B96" s="185"/>
      <c r="C96" s="340" t="str">
        <f>IF(ctArbeitsgebiete!H22&lt;&gt;"",ctArbeitsgebiete!H22,"")</f>
        <v/>
      </c>
      <c r="D96" s="334"/>
      <c r="E96" s="944"/>
      <c r="F96" s="945"/>
      <c r="G96" s="945"/>
      <c r="H96" s="945"/>
      <c r="I96" s="945"/>
      <c r="J96" s="945"/>
      <c r="K96" s="945"/>
      <c r="L96" s="945"/>
      <c r="M96" s="945"/>
      <c r="N96" s="945"/>
      <c r="O96" s="945"/>
      <c r="P96" s="945"/>
      <c r="Q96" s="945"/>
      <c r="R96" s="945"/>
      <c r="S96" s="945"/>
      <c r="T96" s="945"/>
      <c r="U96" s="945"/>
      <c r="V96" s="945"/>
      <c r="W96" s="945"/>
      <c r="X96" s="945"/>
      <c r="Y96" s="945"/>
      <c r="Z96" s="945"/>
      <c r="AA96" s="945"/>
      <c r="AB96" s="945"/>
      <c r="AC96" s="945"/>
      <c r="AD96" s="945"/>
      <c r="AE96" s="945"/>
      <c r="AF96" s="945"/>
      <c r="AG96" s="945"/>
      <c r="AH96" s="945"/>
      <c r="AI96" s="946"/>
      <c r="AJ96" s="338">
        <f t="shared" si="15"/>
        <v>0</v>
      </c>
      <c r="AK96" s="152"/>
      <c r="AL96" s="113"/>
      <c r="AM96" s="89"/>
      <c r="AN96" s="89"/>
      <c r="AO96" s="89"/>
      <c r="AP96" s="89"/>
      <c r="AQ96" s="89"/>
      <c r="AR96" s="89"/>
    </row>
    <row r="97" spans="1:44" x14ac:dyDescent="0.2">
      <c r="A97" s="165"/>
      <c r="B97" s="185"/>
      <c r="C97" s="340" t="str">
        <f>IF(ctArbeitsgebiete!H23&lt;&gt;"",ctArbeitsgebiete!H23,"")</f>
        <v/>
      </c>
      <c r="D97" s="334"/>
      <c r="E97" s="944"/>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6"/>
      <c r="AJ97" s="338">
        <f t="shared" si="15"/>
        <v>0</v>
      </c>
      <c r="AK97" s="152"/>
      <c r="AL97" s="113"/>
      <c r="AM97" s="89"/>
      <c r="AN97" s="89"/>
      <c r="AO97" s="89"/>
      <c r="AP97" s="89"/>
      <c r="AQ97" s="89"/>
      <c r="AR97" s="89"/>
    </row>
    <row r="98" spans="1:44" x14ac:dyDescent="0.2">
      <c r="A98" s="165"/>
      <c r="B98" s="185"/>
      <c r="C98" s="340" t="str">
        <f>IF(ctArbeitsgebiete!H24&lt;&gt;"",ctArbeitsgebiete!H24,"")</f>
        <v/>
      </c>
      <c r="D98" s="334"/>
      <c r="E98" s="944"/>
      <c r="F98" s="945"/>
      <c r="G98" s="945"/>
      <c r="H98" s="945"/>
      <c r="I98" s="945"/>
      <c r="J98" s="945"/>
      <c r="K98" s="945"/>
      <c r="L98" s="945"/>
      <c r="M98" s="945"/>
      <c r="N98" s="945"/>
      <c r="O98" s="945"/>
      <c r="P98" s="945"/>
      <c r="Q98" s="945"/>
      <c r="R98" s="945"/>
      <c r="S98" s="945"/>
      <c r="T98" s="945"/>
      <c r="U98" s="945"/>
      <c r="V98" s="945"/>
      <c r="W98" s="945"/>
      <c r="X98" s="945"/>
      <c r="Y98" s="945"/>
      <c r="Z98" s="945"/>
      <c r="AA98" s="945"/>
      <c r="AB98" s="945"/>
      <c r="AC98" s="945"/>
      <c r="AD98" s="945"/>
      <c r="AE98" s="945"/>
      <c r="AF98" s="945"/>
      <c r="AG98" s="945"/>
      <c r="AH98" s="945"/>
      <c r="AI98" s="946"/>
      <c r="AJ98" s="338">
        <f t="shared" si="15"/>
        <v>0</v>
      </c>
      <c r="AK98" s="152"/>
      <c r="AL98" s="113"/>
      <c r="AM98" s="89"/>
      <c r="AN98" s="89"/>
      <c r="AO98" s="89"/>
      <c r="AP98" s="89"/>
      <c r="AQ98" s="89"/>
      <c r="AR98" s="89"/>
    </row>
    <row r="99" spans="1:44" x14ac:dyDescent="0.2">
      <c r="A99" s="165"/>
      <c r="B99" s="185"/>
      <c r="C99" s="340" t="str">
        <f>IF(ctArbeitsgebiete!H25&lt;&gt;"",ctArbeitsgebiete!H25,"")</f>
        <v/>
      </c>
      <c r="D99" s="334"/>
      <c r="E99" s="944"/>
      <c r="F99" s="945"/>
      <c r="G99" s="945"/>
      <c r="H99" s="945"/>
      <c r="I99" s="945"/>
      <c r="J99" s="945"/>
      <c r="K99" s="945"/>
      <c r="L99" s="945"/>
      <c r="M99" s="945"/>
      <c r="N99" s="945"/>
      <c r="O99" s="945"/>
      <c r="P99" s="945"/>
      <c r="Q99" s="945"/>
      <c r="R99" s="945"/>
      <c r="S99" s="945"/>
      <c r="T99" s="945"/>
      <c r="U99" s="945"/>
      <c r="V99" s="945"/>
      <c r="W99" s="945"/>
      <c r="X99" s="945"/>
      <c r="Y99" s="945"/>
      <c r="Z99" s="945"/>
      <c r="AA99" s="945"/>
      <c r="AB99" s="945"/>
      <c r="AC99" s="945"/>
      <c r="AD99" s="945"/>
      <c r="AE99" s="945"/>
      <c r="AF99" s="945"/>
      <c r="AG99" s="945"/>
      <c r="AH99" s="945"/>
      <c r="AI99" s="946"/>
      <c r="AJ99" s="338">
        <f t="shared" si="15"/>
        <v>0</v>
      </c>
      <c r="AK99" s="152"/>
      <c r="AL99" s="113"/>
      <c r="AM99" s="89"/>
      <c r="AN99" s="89"/>
      <c r="AO99" s="89"/>
      <c r="AP99" s="89"/>
      <c r="AQ99" s="89"/>
      <c r="AR99" s="89"/>
    </row>
    <row r="100" spans="1:44" x14ac:dyDescent="0.2">
      <c r="A100" s="165"/>
      <c r="B100" s="185"/>
      <c r="C100" s="340" t="str">
        <f>IF(ctArbeitsgebiete!H26&lt;&gt;"",ctArbeitsgebiete!H26,"")</f>
        <v/>
      </c>
      <c r="D100" s="334"/>
      <c r="E100" s="944"/>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B100" s="945"/>
      <c r="AC100" s="945"/>
      <c r="AD100" s="945"/>
      <c r="AE100" s="945"/>
      <c r="AF100" s="945"/>
      <c r="AG100" s="945"/>
      <c r="AH100" s="945"/>
      <c r="AI100" s="946"/>
      <c r="AJ100" s="338">
        <f t="shared" si="15"/>
        <v>0</v>
      </c>
      <c r="AK100" s="152"/>
      <c r="AL100" s="113"/>
      <c r="AM100" s="89"/>
      <c r="AN100" s="89"/>
      <c r="AO100" s="89"/>
      <c r="AP100" s="89"/>
      <c r="AQ100" s="89"/>
      <c r="AR100" s="89"/>
    </row>
    <row r="101" spans="1:44" x14ac:dyDescent="0.2">
      <c r="A101" s="165"/>
      <c r="B101" s="185"/>
      <c r="C101" s="345" t="str">
        <f>IF(ctArbeitsgebiete!H27&lt;&gt;"",ctArbeitsgebiete!H27,"")</f>
        <v/>
      </c>
      <c r="D101" s="346"/>
      <c r="E101" s="947"/>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9"/>
      <c r="AJ101" s="347">
        <f t="shared" si="15"/>
        <v>0</v>
      </c>
      <c r="AK101" s="152"/>
      <c r="AL101" s="113"/>
      <c r="AM101" s="89"/>
      <c r="AN101" s="89"/>
      <c r="AO101" s="89"/>
      <c r="AP101" s="89"/>
      <c r="AQ101" s="89"/>
      <c r="AR101" s="89"/>
    </row>
    <row r="102" spans="1:44" x14ac:dyDescent="0.2">
      <c r="A102" s="165"/>
      <c r="B102" s="185"/>
      <c r="C102" s="992" t="str">
        <f>IF(ctArbeitsgebiete!E24&lt;&gt;"",ctArbeitsgebiete!E24,"")</f>
        <v/>
      </c>
      <c r="D102" s="1083"/>
      <c r="E102" s="1084"/>
      <c r="F102" s="1085"/>
      <c r="G102" s="1085"/>
      <c r="H102" s="1085"/>
      <c r="I102" s="1085"/>
      <c r="J102" s="1085"/>
      <c r="K102" s="1085"/>
      <c r="L102" s="1085"/>
      <c r="M102" s="1085"/>
      <c r="N102" s="1085"/>
      <c r="O102" s="1085"/>
      <c r="P102" s="1085"/>
      <c r="Q102" s="1085"/>
      <c r="R102" s="1085"/>
      <c r="S102" s="1085"/>
      <c r="T102" s="1085"/>
      <c r="U102" s="1085"/>
      <c r="V102" s="1085"/>
      <c r="W102" s="1085"/>
      <c r="X102" s="1085"/>
      <c r="Y102" s="1085"/>
      <c r="Z102" s="1085"/>
      <c r="AA102" s="1085"/>
      <c r="AB102" s="1085"/>
      <c r="AC102" s="1085"/>
      <c r="AD102" s="1085"/>
      <c r="AE102" s="1085"/>
      <c r="AF102" s="1085"/>
      <c r="AG102" s="1085"/>
      <c r="AH102" s="1085"/>
      <c r="AI102" s="1086"/>
      <c r="AJ102" s="1087">
        <f t="shared" si="15"/>
        <v>0</v>
      </c>
      <c r="AK102" s="152"/>
      <c r="AL102" s="113"/>
      <c r="AM102" s="89"/>
      <c r="AN102" s="89"/>
      <c r="AO102" s="89"/>
      <c r="AP102" s="89"/>
      <c r="AQ102" s="89"/>
      <c r="AR102" s="89"/>
    </row>
    <row r="103" spans="1:44" x14ac:dyDescent="0.2">
      <c r="A103" s="165"/>
      <c r="B103" s="185"/>
      <c r="C103" s="342" t="str">
        <f>IF(ctArbeitsgebiete!E25&lt;&gt;"",ctArbeitsgebiete!E25,"")</f>
        <v/>
      </c>
      <c r="D103" s="341"/>
      <c r="E103" s="944"/>
      <c r="F103" s="945"/>
      <c r="G103" s="945"/>
      <c r="H103" s="945"/>
      <c r="I103" s="945"/>
      <c r="J103" s="945"/>
      <c r="K103" s="945"/>
      <c r="L103" s="945"/>
      <c r="M103" s="945"/>
      <c r="N103" s="945"/>
      <c r="O103" s="945"/>
      <c r="P103" s="945"/>
      <c r="Q103" s="945"/>
      <c r="R103" s="945"/>
      <c r="S103" s="945"/>
      <c r="T103" s="945"/>
      <c r="U103" s="945"/>
      <c r="V103" s="945"/>
      <c r="W103" s="945"/>
      <c r="X103" s="945"/>
      <c r="Y103" s="945"/>
      <c r="Z103" s="945"/>
      <c r="AA103" s="945"/>
      <c r="AB103" s="945"/>
      <c r="AC103" s="945"/>
      <c r="AD103" s="945"/>
      <c r="AE103" s="945"/>
      <c r="AF103" s="945"/>
      <c r="AG103" s="945"/>
      <c r="AH103" s="945"/>
      <c r="AI103" s="946"/>
      <c r="AJ103" s="343">
        <f t="shared" si="15"/>
        <v>0</v>
      </c>
      <c r="AK103" s="152"/>
      <c r="AL103" s="113"/>
      <c r="AM103" s="89"/>
      <c r="AN103" s="89"/>
      <c r="AO103" s="89"/>
      <c r="AP103" s="89"/>
      <c r="AQ103" s="89"/>
      <c r="AR103" s="89"/>
    </row>
    <row r="104" spans="1:44" x14ac:dyDescent="0.2">
      <c r="A104" s="165"/>
      <c r="B104" s="185"/>
      <c r="C104" s="342" t="str">
        <f>IF(ctArbeitsgebiete!E26&lt;&gt;"",ctArbeitsgebiete!E26,"")</f>
        <v/>
      </c>
      <c r="D104" s="341"/>
      <c r="E104" s="944"/>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B104" s="945"/>
      <c r="AC104" s="945"/>
      <c r="AD104" s="945"/>
      <c r="AE104" s="945"/>
      <c r="AF104" s="945"/>
      <c r="AG104" s="945"/>
      <c r="AH104" s="945"/>
      <c r="AI104" s="946"/>
      <c r="AJ104" s="343">
        <f t="shared" si="15"/>
        <v>0</v>
      </c>
      <c r="AK104" s="152"/>
      <c r="AL104" s="113"/>
      <c r="AM104" s="89"/>
      <c r="AN104" s="89"/>
      <c r="AO104" s="89"/>
      <c r="AP104" s="89"/>
      <c r="AQ104" s="89"/>
      <c r="AR104" s="89"/>
    </row>
    <row r="105" spans="1:44" ht="13.5" thickBot="1" x14ac:dyDescent="0.25">
      <c r="A105" s="165"/>
      <c r="B105" s="185"/>
      <c r="C105" s="342" t="str">
        <f>IF(ctArbeitsgebiete!E27&lt;&gt;"",ctArbeitsgebiete!E27,"")</f>
        <v/>
      </c>
      <c r="D105" s="341"/>
      <c r="E105" s="950"/>
      <c r="F105" s="951"/>
      <c r="G105" s="951"/>
      <c r="H105" s="951"/>
      <c r="I105" s="951"/>
      <c r="J105" s="951"/>
      <c r="K105" s="951"/>
      <c r="L105" s="951"/>
      <c r="M105" s="951"/>
      <c r="N105" s="951"/>
      <c r="O105" s="951"/>
      <c r="P105" s="951"/>
      <c r="Q105" s="951"/>
      <c r="R105" s="951"/>
      <c r="S105" s="951"/>
      <c r="T105" s="951"/>
      <c r="U105" s="951"/>
      <c r="V105" s="951"/>
      <c r="W105" s="951"/>
      <c r="X105" s="951"/>
      <c r="Y105" s="951"/>
      <c r="Z105" s="951"/>
      <c r="AA105" s="951"/>
      <c r="AB105" s="951"/>
      <c r="AC105" s="951"/>
      <c r="AD105" s="951"/>
      <c r="AE105" s="951"/>
      <c r="AF105" s="951"/>
      <c r="AG105" s="951"/>
      <c r="AH105" s="951"/>
      <c r="AI105" s="952"/>
      <c r="AJ105" s="344">
        <f t="shared" si="15"/>
        <v>0</v>
      </c>
      <c r="AK105" s="152"/>
      <c r="AL105" s="113"/>
      <c r="AM105" s="89"/>
      <c r="AN105" s="89"/>
      <c r="AO105" s="89"/>
      <c r="AP105" s="89"/>
      <c r="AQ105" s="89"/>
      <c r="AR105" s="89"/>
    </row>
    <row r="106" spans="1:44" s="218" customFormat="1" ht="63.75" collapsed="1" x14ac:dyDescent="0.2">
      <c r="C106" s="219" t="s">
        <v>444</v>
      </c>
      <c r="D106" s="220"/>
      <c r="E106" s="335"/>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6"/>
      <c r="AF106" s="336"/>
      <c r="AG106" s="336"/>
      <c r="AH106" s="336"/>
      <c r="AI106" s="337"/>
      <c r="AJ106" s="339">
        <f>SUM(E106:AI106)</f>
        <v>0</v>
      </c>
      <c r="AL106" s="222"/>
    </row>
  </sheetData>
  <sheetProtection algorithmName="SHA-512" hashValue="dZlWZu6v5EpDdwo4EL0YKPX1xUTkun3P77BL7eE3TLZOkp57gjina2sp/aXFXqD0NkNu7gt3hi4QuYU8gnF7LA==" saltValue="Ijn65STYRjRjZN1PzpMFuQ==" spinCount="100000" sheet="1" selectLockedCells="1"/>
  <mergeCells count="1">
    <mergeCell ref="D3:D4"/>
  </mergeCells>
  <phoneticPr fontId="9" type="noConversion"/>
  <conditionalFormatting sqref="E3:AH4">
    <cfRule type="expression" dxfId="28" priority="110" stopIfTrue="1">
      <formula>WEEKDAY(E$3,2)=7</formula>
    </cfRule>
  </conditionalFormatting>
  <conditionalFormatting sqref="E7:AH7">
    <cfRule type="expression" dxfId="27" priority="1" stopIfTrue="1">
      <formula>WEEKDAY(E$3,2)=6</formula>
    </cfRule>
    <cfRule type="expression" dxfId="26" priority="2" stopIfTrue="1">
      <formula>WEEKDAY(E$3,2)=7</formula>
    </cfRule>
  </conditionalFormatting>
  <conditionalFormatting sqref="E8:AH8 E10:AH10 E12:AH12">
    <cfRule type="expression" dxfId="25" priority="107" stopIfTrue="1">
      <formula>WEEKDAY(E$3,2)=6</formula>
    </cfRule>
    <cfRule type="expression" dxfId="24" priority="108" stopIfTrue="1">
      <formula>WEEKDAY(E$3,2)=7</formula>
    </cfRule>
  </conditionalFormatting>
  <conditionalFormatting sqref="E9:AH9 E11:AH11">
    <cfRule type="expression" dxfId="23" priority="105" stopIfTrue="1">
      <formula>WEEKDAY(E$3,2)=6</formula>
    </cfRule>
    <cfRule type="expression" dxfId="22" priority="106" stopIfTrue="1">
      <formula>WEEKDAY(E$3,2)=7</formula>
    </cfRule>
  </conditionalFormatting>
  <conditionalFormatting sqref="E3:AI4">
    <cfRule type="expression" dxfId="21" priority="109" stopIfTrue="1">
      <formula>WEEKDAY(E$3,2)=6</formula>
    </cfRule>
  </conditionalFormatting>
  <conditionalFormatting sqref="E13:AI18">
    <cfRule type="expression" dxfId="20" priority="111" stopIfTrue="1">
      <formula>WEEKDAY(E$3,2)=6</formula>
    </cfRule>
    <cfRule type="expression" dxfId="19" priority="112" stopIfTrue="1">
      <formula>WEEKDAY(E$3,2)=7</formula>
    </cfRule>
  </conditionalFormatting>
  <conditionalFormatting sqref="E19:AI19">
    <cfRule type="expression" dxfId="18" priority="113" stopIfTrue="1">
      <formula>WEEKDAY(E$3,2)=6</formula>
    </cfRule>
    <cfRule type="expression" dxfId="17" priority="114" stopIfTrue="1">
      <formula>WEEKDAY(E$3,2)=7</formula>
    </cfRule>
  </conditionalFormatting>
  <conditionalFormatting sqref="E20:AI20 E39:AI39">
    <cfRule type="expression" dxfId="16" priority="101" stopIfTrue="1">
      <formula>WEEKDAY(E$3,2)=6</formula>
    </cfRule>
    <cfRule type="expression" dxfId="15" priority="102" stopIfTrue="1">
      <formula>WEEKDAY(E$3,2)=7</formula>
    </cfRule>
  </conditionalFormatting>
  <conditionalFormatting sqref="E21:AI21 E33:AI38">
    <cfRule type="expression" dxfId="14" priority="99" stopIfTrue="1">
      <formula>WEEKDAY(E$3,2)=6</formula>
    </cfRule>
    <cfRule type="expression" dxfId="13" priority="100" stopIfTrue="1">
      <formula>WEEKDAY(E$3,2)=7</formula>
    </cfRule>
  </conditionalFormatting>
  <conditionalFormatting sqref="E22:AI32 E41:AI85 E94:AI106">
    <cfRule type="expression" dxfId="12" priority="103" stopIfTrue="1">
      <formula>WEEKDAY(E$3,2)=6</formula>
    </cfRule>
    <cfRule type="expression" dxfId="11" priority="104" stopIfTrue="1">
      <formula>WEEKDAY(E$3,2)=7</formula>
    </cfRule>
  </conditionalFormatting>
  <conditionalFormatting sqref="E40:AI40">
    <cfRule type="cellIs" dxfId="10" priority="115" stopIfTrue="1" operator="notEqual">
      <formula>0</formula>
    </cfRule>
    <cfRule type="expression" dxfId="9" priority="116" stopIfTrue="1">
      <formula>WEEKDAY(E$3,2)=6</formula>
    </cfRule>
    <cfRule type="expression" dxfId="8" priority="117" stopIfTrue="1">
      <formula>WEEKDAY(E$3,2)=7</formula>
    </cfRule>
  </conditionalFormatting>
  <conditionalFormatting sqref="AI3:AI4">
    <cfRule type="expression" dxfId="7" priority="121" stopIfTrue="1">
      <formula>WEEKDAY(AI$3,2)=7</formula>
    </cfRule>
  </conditionalFormatting>
  <conditionalFormatting sqref="AI7:AI12">
    <cfRule type="expression" dxfId="6" priority="53" stopIfTrue="1">
      <formula>WEEKDAY(AI$3,2)=6</formula>
    </cfRule>
    <cfRule type="expression" dxfId="5" priority="54" stopIfTrue="1">
      <formula>WEEKDAY(AI$3,2)=7</formula>
    </cfRule>
  </conditionalFormatting>
  <printOptions horizontalCentered="1" verticalCentered="1"/>
  <pageMargins left="0.19685039370078741" right="0.19685039370078741" top="0.39370078740157483" bottom="0.19685039370078741" header="0.31496062992125984" footer="0.19685039370078741"/>
  <pageSetup paperSize="9" scale="53" orientation="landscape"/>
  <headerFooter>
    <oddHeader>&amp;C&amp;12Monatsabrechnung   &amp;A</oddHead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ransitionEvaluation="1" codeName="Tabelle25"/>
  <dimension ref="A1:AK131"/>
  <sheetViews>
    <sheetView workbookViewId="0">
      <selection activeCell="E45" sqref="E45"/>
    </sheetView>
  </sheetViews>
  <sheetFormatPr baseColWidth="10" defaultColWidth="11.140625" defaultRowHeight="12" outlineLevelCol="1" x14ac:dyDescent="0.2"/>
  <cols>
    <col min="1" max="1" width="5.42578125" style="681" customWidth="1" outlineLevel="1"/>
    <col min="2" max="2" width="16" style="682" customWidth="1" outlineLevel="1"/>
    <col min="3" max="3" width="6.7109375" style="668" bestFit="1" customWidth="1" outlineLevel="1"/>
    <col min="4" max="4" width="5.42578125" style="673" customWidth="1" outlineLevel="1"/>
    <col min="5" max="5" width="7.42578125" style="674" customWidth="1" outlineLevel="1"/>
    <col min="6" max="6" width="5.42578125" style="668" customWidth="1" outlineLevel="1"/>
    <col min="7" max="7" width="5.42578125" style="673" customWidth="1" outlineLevel="1"/>
    <col min="8" max="8" width="12.28515625" style="674" customWidth="1" outlineLevel="1"/>
    <col min="9" max="9" width="5.42578125" style="668" customWidth="1" outlineLevel="1"/>
    <col min="10" max="10" width="5.42578125" style="673" customWidth="1" outlineLevel="1"/>
    <col min="11" max="11" width="15.7109375" style="674" customWidth="1" outlineLevel="1"/>
    <col min="12" max="12" width="5.42578125" style="668" customWidth="1" outlineLevel="1"/>
    <col min="13" max="13" width="5.42578125" style="673" customWidth="1" outlineLevel="1"/>
    <col min="14" max="14" width="11.42578125" style="674" customWidth="1" outlineLevel="1"/>
    <col min="15" max="15" width="5.42578125" style="668" customWidth="1" outlineLevel="1"/>
    <col min="16" max="16" width="5.42578125" style="673" customWidth="1" outlineLevel="1"/>
    <col min="17" max="17" width="13.85546875" style="674" customWidth="1" outlineLevel="1"/>
    <col min="18" max="18" width="5.42578125" style="668" customWidth="1" outlineLevel="1"/>
    <col min="19" max="19" width="5.42578125" style="673" customWidth="1" outlineLevel="1"/>
    <col min="20" max="20" width="9.85546875" style="674" customWidth="1" outlineLevel="1"/>
    <col min="21" max="21" width="5.42578125" style="668" customWidth="1" outlineLevel="1"/>
    <col min="22" max="22" width="5.42578125" style="673" customWidth="1" outlineLevel="1"/>
    <col min="23" max="23" width="9.140625" style="674" customWidth="1" outlineLevel="1"/>
    <col min="24" max="24" width="5.42578125" style="668" customWidth="1" outlineLevel="1"/>
    <col min="25" max="25" width="5.42578125" style="673" customWidth="1" outlineLevel="1"/>
    <col min="26" max="26" width="17" style="674" customWidth="1" outlineLevel="1"/>
    <col min="27" max="27" width="5.42578125" style="668" customWidth="1" outlineLevel="1"/>
    <col min="28" max="28" width="5.42578125" style="673" customWidth="1" outlineLevel="1"/>
    <col min="29" max="29" width="9.85546875" style="674" customWidth="1" outlineLevel="1"/>
    <col min="30" max="30" width="5.42578125" style="668" customWidth="1" outlineLevel="1"/>
    <col min="31" max="31" width="5.42578125" style="673" customWidth="1" outlineLevel="1"/>
    <col min="32" max="32" width="9.85546875" style="674" customWidth="1" outlineLevel="1"/>
    <col min="33" max="33" width="5.42578125" style="668" customWidth="1" outlineLevel="1"/>
    <col min="34" max="34" width="5.42578125" style="674" customWidth="1" outlineLevel="1"/>
    <col min="35" max="35" width="11.7109375" style="674" customWidth="1" outlineLevel="1"/>
    <col min="36" max="36" width="6.7109375" style="675" customWidth="1" outlineLevel="1"/>
    <col min="37" max="37" width="8" style="668" customWidth="1" outlineLevel="1"/>
    <col min="38" max="16384" width="11.140625" style="674"/>
  </cols>
  <sheetData>
    <row r="1" spans="1:37" s="694" customFormat="1" ht="13.5" customHeight="1" thickBot="1" x14ac:dyDescent="0.25">
      <c r="A1" s="587" t="s">
        <v>445</v>
      </c>
      <c r="B1" s="588"/>
      <c r="C1" s="589">
        <v>1</v>
      </c>
      <c r="D1" s="590" t="s">
        <v>446</v>
      </c>
      <c r="E1" s="591"/>
      <c r="F1" s="592">
        <v>2</v>
      </c>
      <c r="G1" s="590" t="s">
        <v>447</v>
      </c>
      <c r="H1" s="591"/>
      <c r="I1" s="592">
        <v>3</v>
      </c>
      <c r="J1" s="590" t="s">
        <v>448</v>
      </c>
      <c r="K1" s="591"/>
      <c r="L1" s="592">
        <v>4</v>
      </c>
      <c r="M1" s="590" t="s">
        <v>378</v>
      </c>
      <c r="N1" s="591"/>
      <c r="O1" s="592">
        <v>5</v>
      </c>
      <c r="P1" s="590" t="s">
        <v>449</v>
      </c>
      <c r="Q1" s="591"/>
      <c r="R1" s="592">
        <v>6</v>
      </c>
      <c r="S1" s="590" t="s">
        <v>450</v>
      </c>
      <c r="T1" s="591"/>
      <c r="U1" s="592">
        <v>7</v>
      </c>
      <c r="V1" s="590" t="s">
        <v>451</v>
      </c>
      <c r="W1" s="591"/>
      <c r="X1" s="592">
        <v>8</v>
      </c>
      <c r="Y1" s="590" t="s">
        <v>452</v>
      </c>
      <c r="Z1" s="591"/>
      <c r="AA1" s="592">
        <v>9</v>
      </c>
      <c r="AB1" s="590" t="s">
        <v>453</v>
      </c>
      <c r="AC1" s="591"/>
      <c r="AD1" s="592">
        <v>10</v>
      </c>
      <c r="AE1" s="590" t="s">
        <v>454</v>
      </c>
      <c r="AF1" s="591"/>
      <c r="AG1" s="592">
        <v>11</v>
      </c>
      <c r="AH1" s="590" t="s">
        <v>455</v>
      </c>
      <c r="AI1" s="591"/>
      <c r="AJ1" s="593">
        <v>12</v>
      </c>
      <c r="AK1" s="594">
        <v>2008</v>
      </c>
    </row>
    <row r="2" spans="1:37" ht="12" customHeight="1" x14ac:dyDescent="0.2">
      <c r="A2" s="595">
        <v>1</v>
      </c>
      <c r="B2" s="596" t="str">
        <f>IF(ISERROR(VLOOKUP(DATE($AK$1,C$1,A2),Feste,1,FALSE)),VLOOKUP(WEEKDAY(DATE($AK$1,C$1,A2)),Tage,2),VLOOKUP(DATE($AK$1,C$1,A2),Feste,8,FALSE))</f>
        <v>Neujahr</v>
      </c>
      <c r="C2" s="597">
        <f>IF(ISERROR(VLOOKUP(DATE($AK$1,C$1,A2),Feste,1,FALSE)),VLOOKUP(B2,Arbeitstage,2),VLOOKUP(DATE($AK$1,C$1,A2),Feste,6,FALSE))</f>
        <v>0</v>
      </c>
      <c r="D2" s="598">
        <v>1</v>
      </c>
      <c r="E2" s="596" t="str">
        <f>IF(ISERROR(VLOOKUP(DATE($AK$1,F$1,D2),Feste,1,FALSE)),VLOOKUP(WEEKDAY(DATE($AK$1,F$1,D2)),Tage,2),VLOOKUP(DATE($AK$1,F$1,D2),Feste,8,FALSE))</f>
        <v>Fr</v>
      </c>
      <c r="F2" s="597">
        <f t="shared" ref="F2:F29" si="0">IF(ISERROR(VLOOKUP(DATE($AK$1,F$1,D2),Feste,1,FALSE)),VLOOKUP(E2,Arbeitstage,2),VLOOKUP(DATE($AK$1,F$1,D2),Feste,6,FALSE))</f>
        <v>0.35</v>
      </c>
      <c r="G2" s="598">
        <v>1</v>
      </c>
      <c r="H2" s="596" t="str">
        <f t="shared" ref="H2:H32" si="1">IF(ISERROR(VLOOKUP(DATE($AK$1,I$1,G2),Feste,1,FALSE)),VLOOKUP(WEEKDAY(DATE($AK$1,I$1,G2)),Tage,2),VLOOKUP(DATE($AK$1,I$1,G2),Feste,8,FALSE))</f>
        <v>Sa</v>
      </c>
      <c r="I2" s="597">
        <f t="shared" ref="I2:I32" si="2">IF(ISERROR(VLOOKUP(DATE($AK$1,I$1,G2),Feste,1,FALSE)),VLOOKUP(H2,Arbeitstage,2),VLOOKUP(DATE($AK$1,I$1,G2),Feste,6,FALSE))</f>
        <v>0</v>
      </c>
      <c r="J2" s="598">
        <v>1</v>
      </c>
      <c r="K2" s="596" t="str">
        <f t="shared" ref="K2:K31" si="3">IF(ISERROR(VLOOKUP(DATE($AK$1,L$1,J2),Feste,1,FALSE)),VLOOKUP(WEEKDAY(DATE($AK$1,L$1,J2)),Tage,2),VLOOKUP(DATE($AK$1,L$1,J2),Feste,8,FALSE))</f>
        <v>Di</v>
      </c>
      <c r="L2" s="597">
        <f t="shared" ref="L2:L31" si="4">IF(ISERROR(VLOOKUP(DATE($AK$1,L$1,J2),Feste,1,FALSE)),VLOOKUP(K2,Arbeitstage,2),VLOOKUP(DATE($AK$1,L$1,J2),Feste,6,FALSE))</f>
        <v>0.35</v>
      </c>
      <c r="M2" s="598">
        <v>1</v>
      </c>
      <c r="N2" s="596" t="str">
        <f t="shared" ref="N2:N32" si="5">IF(ISERROR(VLOOKUP(DATE($AK$1,O$1,M2),Feste,1,FALSE)),VLOOKUP(WEEKDAY(DATE($AK$1,O$1,M2)),Tage,2),VLOOKUP(DATE($AK$1,O$1,M2),Feste,8,FALSE))</f>
        <v>1. Mai</v>
      </c>
      <c r="O2" s="597">
        <f t="shared" ref="O2:O32" si="6">IF(ISERROR(VLOOKUP(DATE($AK$1,O$1,M2),Feste,1,FALSE)),VLOOKUP(N2,Arbeitstage,2),VLOOKUP(DATE($AK$1,O$1,M2),Feste,6,FALSE))</f>
        <v>0</v>
      </c>
      <c r="P2" s="598">
        <v>1</v>
      </c>
      <c r="Q2" s="596" t="str">
        <f t="shared" ref="Q2:Q31" si="7">IF(ISERROR(VLOOKUP(DATE($AK$1,R$1,P2),Feste,1,FALSE)),VLOOKUP(WEEKDAY(DATE($AK$1,R$1,P2)),Tage,2),VLOOKUP(DATE($AK$1,R$1,P2),Feste,8,FALSE))</f>
        <v>So</v>
      </c>
      <c r="R2" s="597">
        <f t="shared" ref="R2:R31" si="8">IF(ISERROR(VLOOKUP(DATE($AK$1,R$1,P2),Feste,1,FALSE)),VLOOKUP(Q2,Arbeitstage,2),VLOOKUP(DATE($AK$1,R$1,P2),Feste,6,FALSE))</f>
        <v>0</v>
      </c>
      <c r="S2" s="598">
        <v>1</v>
      </c>
      <c r="T2" s="596" t="str">
        <f t="shared" ref="T2:T32" si="9">IF(ISERROR(VLOOKUP(DATE($AK$1,U$1,S2),Feste,1,FALSE)),VLOOKUP(WEEKDAY(DATE($AK$1,U$1,S2)),Tage,2),VLOOKUP(DATE($AK$1,U$1,S2),Feste,8,FALSE))</f>
        <v>Di</v>
      </c>
      <c r="U2" s="597">
        <f t="shared" ref="U2:U32" si="10">IF(ISERROR(VLOOKUP(DATE($AK$1,U$1,S2),Feste,1,FALSE)),VLOOKUP(T2,Arbeitstage,2),VLOOKUP(DATE($AK$1,U$1,S2),Feste,6,FALSE))</f>
        <v>0.35</v>
      </c>
      <c r="V2" s="598">
        <v>1</v>
      </c>
      <c r="W2" s="596" t="str">
        <f t="shared" ref="W2:W32" si="11">IF(ISERROR(VLOOKUP(DATE($AK$1,X$1,V2),Feste,1,FALSE)),VLOOKUP(WEEKDAY(DATE($AK$1,X$1,V2)),Tage,2),VLOOKUP(DATE($AK$1,X$1,V2),Feste,8,FALSE))</f>
        <v>1. August</v>
      </c>
      <c r="X2" s="597">
        <f t="shared" ref="X2:X32" si="12">IF(ISERROR(VLOOKUP(DATE($AK$1,X$1,V2),Feste,1,FALSE)),VLOOKUP(W2,Arbeitstage,2),VLOOKUP(DATE($AK$1,X$1,V2),Feste,6,FALSE))</f>
        <v>0</v>
      </c>
      <c r="Y2" s="598">
        <v>1</v>
      </c>
      <c r="Z2" s="596" t="str">
        <f t="shared" ref="Z2:Z31" si="13">IF(ISERROR(VLOOKUP(DATE($AK$1,AA$1,Y2),Feste,1,FALSE)),VLOOKUP(WEEKDAY(DATE($AK$1,AA$1,Y2)),Tage,2),VLOOKUP(DATE($AK$1,AA$1,Y2),Feste,8,FALSE))</f>
        <v>Mo</v>
      </c>
      <c r="AA2" s="597">
        <f t="shared" ref="AA2:AA31" si="14">IF(ISERROR(VLOOKUP(DATE($AK$1,AA$1,Y2),Feste,1,FALSE)),VLOOKUP(Z2,Arbeitstage,2),VLOOKUP(DATE($AK$1,AA$1,Y2),Feste,6,FALSE))</f>
        <v>0.35</v>
      </c>
      <c r="AB2" s="598">
        <v>1</v>
      </c>
      <c r="AC2" s="596" t="str">
        <f t="shared" ref="AC2:AC32" si="15">IF(ISERROR(VLOOKUP(DATE($AK$1,AD$1,AB2),Feste,1,FALSE)),VLOOKUP(WEEKDAY(DATE($AK$1,AD$1,AB2)),Tage,2),VLOOKUP(DATE($AK$1,AD$1,AB2),Feste,8,FALSE))</f>
        <v>Mi</v>
      </c>
      <c r="AD2" s="597">
        <f t="shared" ref="AD2:AD32" si="16">IF(ISERROR(VLOOKUP(DATE($AK$1,AD$1,AB2),Feste,1,FALSE)),VLOOKUP(AC2,Arbeitstage,2),VLOOKUP(DATE($AK$1,AD$1,AB2),Feste,6,FALSE))</f>
        <v>0.35</v>
      </c>
      <c r="AE2" s="598">
        <v>1</v>
      </c>
      <c r="AF2" s="596" t="str">
        <f t="shared" ref="AF2:AF31" si="17">IF(ISERROR(VLOOKUP(DATE($AK$1,AG$1,AE2),Feste,1,FALSE)),VLOOKUP(WEEKDAY(DATE($AK$1,AG$1,AE2)),Tage,2),VLOOKUP(DATE($AK$1,AG$1,AE2),Feste,8,FALSE))</f>
        <v>Sa</v>
      </c>
      <c r="AG2" s="597">
        <f t="shared" ref="AG2:AG31" si="18">IF(ISERROR(VLOOKUP(DATE($AK$1,AG$1,AE2),Feste,1,FALSE)),VLOOKUP(AF2,Arbeitstage,2),VLOOKUP(DATE($AK$1,AG$1,AE2),Feste,6,FALSE))</f>
        <v>0</v>
      </c>
      <c r="AH2" s="598">
        <v>1</v>
      </c>
      <c r="AI2" s="596" t="str">
        <f t="shared" ref="AI2:AI32" si="19">IF(ISERROR(VLOOKUP(DATE($AK$1,AJ$1,AH2),Feste,1,FALSE)),VLOOKUP(WEEKDAY(DATE($AK$1,AJ$1,AH2)),Tage,2),VLOOKUP(DATE($AK$1,AJ$1,AH2),Feste,8,FALSE))</f>
        <v>Mo</v>
      </c>
      <c r="AJ2" s="597">
        <f t="shared" ref="AJ2:AJ31" si="20">IF(ISERROR(VLOOKUP(DATE($AK$1,AJ$1,AH2),Feste,1,FALSE)),VLOOKUP(AI2,Arbeitstage,2),VLOOKUP(DATE($AK$1,AJ$1,AH2),Feste,6,FALSE))</f>
        <v>0.35</v>
      </c>
      <c r="AK2" s="599"/>
    </row>
    <row r="3" spans="1:37" ht="12" customHeight="1" x14ac:dyDescent="0.2">
      <c r="A3" s="595">
        <v>2</v>
      </c>
      <c r="B3" s="596" t="str">
        <f t="shared" ref="B3:B32" si="21">IF(ISERROR(VLOOKUP(DATE($AK$1,C$1,A3),Feste,1,FALSE)),VLOOKUP(WEEKDAY(DATE($AK$1,C$1,A3)),Tage,2),VLOOKUP(DATE($AK$1,C$1,A3),Feste,8,FALSE))</f>
        <v>Bärchtoldstag</v>
      </c>
      <c r="C3" s="597">
        <f t="shared" ref="C3:C9" si="22">IF(ISERROR(VLOOKUP(DATE($AK$1,C$1,A3),Feste,1,FALSE)),VLOOKUP(B3,Arbeitstage,2),VLOOKUP(DATE($AK$1,C$1,A3),Feste,6,FALSE))</f>
        <v>0</v>
      </c>
      <c r="D3" s="598">
        <v>2</v>
      </c>
      <c r="E3" s="596" t="str">
        <f t="shared" ref="E3:E29" si="23">IF(ISERROR(VLOOKUP(DATE($AK$1,F$1,D3),Feste,1,FALSE)),VLOOKUP(WEEKDAY(DATE($AK$1,F$1,D3)),Tage,2),VLOOKUP(DATE($AK$1,F$1,D3),Feste,8,FALSE))</f>
        <v>Sa</v>
      </c>
      <c r="F3" s="597">
        <f t="shared" si="0"/>
        <v>0</v>
      </c>
      <c r="G3" s="598">
        <v>2</v>
      </c>
      <c r="H3" s="596" t="str">
        <f t="shared" si="1"/>
        <v>So</v>
      </c>
      <c r="I3" s="597">
        <f t="shared" si="2"/>
        <v>0</v>
      </c>
      <c r="J3" s="598">
        <v>2</v>
      </c>
      <c r="K3" s="596" t="str">
        <f t="shared" si="3"/>
        <v>Mi</v>
      </c>
      <c r="L3" s="597">
        <f t="shared" si="4"/>
        <v>0.35</v>
      </c>
      <c r="M3" s="598">
        <v>2</v>
      </c>
      <c r="N3" s="596" t="str">
        <f t="shared" si="5"/>
        <v>Fr</v>
      </c>
      <c r="O3" s="597">
        <f t="shared" si="6"/>
        <v>0.35</v>
      </c>
      <c r="P3" s="598">
        <v>2</v>
      </c>
      <c r="Q3" s="596" t="str">
        <f t="shared" si="7"/>
        <v>Mo</v>
      </c>
      <c r="R3" s="597">
        <f t="shared" si="8"/>
        <v>0.35</v>
      </c>
      <c r="S3" s="598">
        <v>2</v>
      </c>
      <c r="T3" s="596" t="str">
        <f t="shared" si="9"/>
        <v>Mi</v>
      </c>
      <c r="U3" s="597">
        <f t="shared" si="10"/>
        <v>0.35</v>
      </c>
      <c r="V3" s="598">
        <v>2</v>
      </c>
      <c r="W3" s="596" t="str">
        <f t="shared" si="11"/>
        <v>Sa</v>
      </c>
      <c r="X3" s="597">
        <f t="shared" si="12"/>
        <v>0</v>
      </c>
      <c r="Y3" s="598">
        <v>2</v>
      </c>
      <c r="Z3" s="596" t="str">
        <f t="shared" si="13"/>
        <v>Di</v>
      </c>
      <c r="AA3" s="597">
        <f t="shared" si="14"/>
        <v>0.35</v>
      </c>
      <c r="AB3" s="598">
        <v>2</v>
      </c>
      <c r="AC3" s="596" t="str">
        <f t="shared" si="15"/>
        <v>Do</v>
      </c>
      <c r="AD3" s="597">
        <f t="shared" si="16"/>
        <v>0.35</v>
      </c>
      <c r="AE3" s="598">
        <v>2</v>
      </c>
      <c r="AF3" s="596" t="str">
        <f t="shared" si="17"/>
        <v>So</v>
      </c>
      <c r="AG3" s="597">
        <f t="shared" si="18"/>
        <v>0</v>
      </c>
      <c r="AH3" s="598">
        <v>2</v>
      </c>
      <c r="AI3" s="596" t="str">
        <f t="shared" si="19"/>
        <v>Di</v>
      </c>
      <c r="AJ3" s="597">
        <f t="shared" si="20"/>
        <v>0.35</v>
      </c>
      <c r="AK3" s="599"/>
    </row>
    <row r="4" spans="1:37" ht="12" customHeight="1" x14ac:dyDescent="0.2">
      <c r="A4" s="595">
        <v>3</v>
      </c>
      <c r="B4" s="596" t="str">
        <f t="shared" si="21"/>
        <v>Do</v>
      </c>
      <c r="C4" s="597">
        <f t="shared" si="22"/>
        <v>0.35</v>
      </c>
      <c r="D4" s="598">
        <v>3</v>
      </c>
      <c r="E4" s="596" t="str">
        <f t="shared" si="23"/>
        <v>So</v>
      </c>
      <c r="F4" s="597">
        <f t="shared" si="0"/>
        <v>0</v>
      </c>
      <c r="G4" s="598">
        <v>3</v>
      </c>
      <c r="H4" s="596" t="str">
        <f t="shared" si="1"/>
        <v>Mo</v>
      </c>
      <c r="I4" s="597">
        <f t="shared" si="2"/>
        <v>0.35</v>
      </c>
      <c r="J4" s="598">
        <v>3</v>
      </c>
      <c r="K4" s="596" t="str">
        <f t="shared" si="3"/>
        <v>Do</v>
      </c>
      <c r="L4" s="597">
        <f t="shared" si="4"/>
        <v>0.35</v>
      </c>
      <c r="M4" s="598">
        <v>3</v>
      </c>
      <c r="N4" s="596" t="str">
        <f t="shared" si="5"/>
        <v>Sa</v>
      </c>
      <c r="O4" s="597">
        <f t="shared" si="6"/>
        <v>0</v>
      </c>
      <c r="P4" s="598">
        <v>3</v>
      </c>
      <c r="Q4" s="596" t="str">
        <f t="shared" si="7"/>
        <v>Di</v>
      </c>
      <c r="R4" s="597">
        <f t="shared" si="8"/>
        <v>0.35</v>
      </c>
      <c r="S4" s="598">
        <v>3</v>
      </c>
      <c r="T4" s="596" t="str">
        <f t="shared" si="9"/>
        <v>Do</v>
      </c>
      <c r="U4" s="597">
        <f t="shared" si="10"/>
        <v>0.35</v>
      </c>
      <c r="V4" s="598">
        <v>3</v>
      </c>
      <c r="W4" s="596" t="str">
        <f t="shared" si="11"/>
        <v>So</v>
      </c>
      <c r="X4" s="597">
        <f t="shared" si="12"/>
        <v>0</v>
      </c>
      <c r="Y4" s="598">
        <v>3</v>
      </c>
      <c r="Z4" s="596" t="str">
        <f t="shared" si="13"/>
        <v>Mi</v>
      </c>
      <c r="AA4" s="597">
        <f t="shared" si="14"/>
        <v>0.35</v>
      </c>
      <c r="AB4" s="598">
        <v>3</v>
      </c>
      <c r="AC4" s="596" t="str">
        <f t="shared" si="15"/>
        <v>Fr</v>
      </c>
      <c r="AD4" s="597">
        <f t="shared" si="16"/>
        <v>0.35</v>
      </c>
      <c r="AE4" s="598">
        <v>3</v>
      </c>
      <c r="AF4" s="596" t="str">
        <f t="shared" si="17"/>
        <v>Mo</v>
      </c>
      <c r="AG4" s="597">
        <f t="shared" si="18"/>
        <v>0.35</v>
      </c>
      <c r="AH4" s="598">
        <v>3</v>
      </c>
      <c r="AI4" s="596" t="str">
        <f t="shared" si="19"/>
        <v>Mi</v>
      </c>
      <c r="AJ4" s="597">
        <f t="shared" si="20"/>
        <v>0.35</v>
      </c>
      <c r="AK4" s="599"/>
    </row>
    <row r="5" spans="1:37" ht="12" customHeight="1" x14ac:dyDescent="0.2">
      <c r="A5" s="595">
        <v>4</v>
      </c>
      <c r="B5" s="596" t="str">
        <f>IF(ISERROR(VLOOKUP(DATE($AK$1,C$1,A5),Feste,1,FALSE)),VLOOKUP(WEEKDAY(DATE($AK$1,C$1,A5)),Tage,2),VLOOKUP(DATE($AK$1,C$1,A5),Feste,8,FALSE))</f>
        <v>Fr</v>
      </c>
      <c r="C5" s="597">
        <f t="shared" si="22"/>
        <v>0.35</v>
      </c>
      <c r="D5" s="598">
        <v>4</v>
      </c>
      <c r="E5" s="596" t="str">
        <f t="shared" si="23"/>
        <v>Mo</v>
      </c>
      <c r="F5" s="597">
        <f t="shared" si="0"/>
        <v>0.35</v>
      </c>
      <c r="G5" s="598">
        <v>4</v>
      </c>
      <c r="H5" s="596" t="str">
        <f t="shared" si="1"/>
        <v>Di</v>
      </c>
      <c r="I5" s="597">
        <f t="shared" si="2"/>
        <v>0.35</v>
      </c>
      <c r="J5" s="598">
        <v>4</v>
      </c>
      <c r="K5" s="596" t="str">
        <f t="shared" si="3"/>
        <v>Fr</v>
      </c>
      <c r="L5" s="597">
        <f t="shared" si="4"/>
        <v>0.35</v>
      </c>
      <c r="M5" s="598">
        <v>4</v>
      </c>
      <c r="N5" s="596" t="str">
        <f t="shared" si="5"/>
        <v>So</v>
      </c>
      <c r="O5" s="597">
        <f t="shared" si="6"/>
        <v>0</v>
      </c>
      <c r="P5" s="598">
        <v>4</v>
      </c>
      <c r="Q5" s="596" t="str">
        <f t="shared" si="7"/>
        <v>Mi</v>
      </c>
      <c r="R5" s="597">
        <f t="shared" si="8"/>
        <v>0.35</v>
      </c>
      <c r="S5" s="598">
        <v>4</v>
      </c>
      <c r="T5" s="596" t="str">
        <f t="shared" si="9"/>
        <v>Fr</v>
      </c>
      <c r="U5" s="597">
        <f t="shared" si="10"/>
        <v>0.35</v>
      </c>
      <c r="V5" s="598">
        <v>4</v>
      </c>
      <c r="W5" s="596" t="str">
        <f t="shared" si="11"/>
        <v>Mo</v>
      </c>
      <c r="X5" s="597">
        <f t="shared" si="12"/>
        <v>0.35</v>
      </c>
      <c r="Y5" s="598">
        <v>4</v>
      </c>
      <c r="Z5" s="596" t="str">
        <f t="shared" si="13"/>
        <v>Do</v>
      </c>
      <c r="AA5" s="597">
        <f t="shared" si="14"/>
        <v>0.35</v>
      </c>
      <c r="AB5" s="598">
        <v>4</v>
      </c>
      <c r="AC5" s="596" t="str">
        <f t="shared" si="15"/>
        <v>Sa</v>
      </c>
      <c r="AD5" s="597">
        <f t="shared" si="16"/>
        <v>0</v>
      </c>
      <c r="AE5" s="598">
        <v>4</v>
      </c>
      <c r="AF5" s="596" t="str">
        <f t="shared" si="17"/>
        <v>Di</v>
      </c>
      <c r="AG5" s="597">
        <f t="shared" si="18"/>
        <v>0.35</v>
      </c>
      <c r="AH5" s="598">
        <v>4</v>
      </c>
      <c r="AI5" s="596" t="str">
        <f t="shared" si="19"/>
        <v>Do</v>
      </c>
      <c r="AJ5" s="597">
        <f t="shared" si="20"/>
        <v>0.35</v>
      </c>
      <c r="AK5" s="599"/>
    </row>
    <row r="6" spans="1:37" ht="12" customHeight="1" x14ac:dyDescent="0.2">
      <c r="A6" s="595">
        <v>5</v>
      </c>
      <c r="B6" s="596" t="str">
        <f t="shared" si="21"/>
        <v>Sa</v>
      </c>
      <c r="C6" s="597">
        <f t="shared" si="22"/>
        <v>0</v>
      </c>
      <c r="D6" s="598">
        <v>5</v>
      </c>
      <c r="E6" s="596" t="str">
        <f t="shared" si="23"/>
        <v>Di</v>
      </c>
      <c r="F6" s="597">
        <f t="shared" si="0"/>
        <v>0.35</v>
      </c>
      <c r="G6" s="598">
        <v>5</v>
      </c>
      <c r="H6" s="596" t="str">
        <f t="shared" si="1"/>
        <v>Mi</v>
      </c>
      <c r="I6" s="597">
        <f t="shared" si="2"/>
        <v>0.35</v>
      </c>
      <c r="J6" s="598">
        <v>5</v>
      </c>
      <c r="K6" s="596" t="str">
        <f t="shared" si="3"/>
        <v>Sa</v>
      </c>
      <c r="L6" s="597">
        <f t="shared" si="4"/>
        <v>0</v>
      </c>
      <c r="M6" s="598">
        <v>5</v>
      </c>
      <c r="N6" s="596" t="str">
        <f t="shared" si="5"/>
        <v>Mo</v>
      </c>
      <c r="O6" s="597">
        <f t="shared" si="6"/>
        <v>0.35</v>
      </c>
      <c r="P6" s="598">
        <v>5</v>
      </c>
      <c r="Q6" s="596" t="str">
        <f t="shared" si="7"/>
        <v>Do</v>
      </c>
      <c r="R6" s="597">
        <f t="shared" si="8"/>
        <v>0.35</v>
      </c>
      <c r="S6" s="598">
        <v>5</v>
      </c>
      <c r="T6" s="596" t="str">
        <f t="shared" si="9"/>
        <v>Sa</v>
      </c>
      <c r="U6" s="597">
        <f t="shared" si="10"/>
        <v>0</v>
      </c>
      <c r="V6" s="598">
        <v>5</v>
      </c>
      <c r="W6" s="596" t="str">
        <f t="shared" si="11"/>
        <v>Di</v>
      </c>
      <c r="X6" s="597">
        <f t="shared" si="12"/>
        <v>0.35</v>
      </c>
      <c r="Y6" s="598">
        <v>5</v>
      </c>
      <c r="Z6" s="596" t="str">
        <f t="shared" si="13"/>
        <v>Fr</v>
      </c>
      <c r="AA6" s="597">
        <f t="shared" si="14"/>
        <v>0.35</v>
      </c>
      <c r="AB6" s="598">
        <v>5</v>
      </c>
      <c r="AC6" s="596" t="str">
        <f t="shared" si="15"/>
        <v>So</v>
      </c>
      <c r="AD6" s="597">
        <f t="shared" si="16"/>
        <v>0</v>
      </c>
      <c r="AE6" s="598">
        <v>5</v>
      </c>
      <c r="AF6" s="596" t="str">
        <f t="shared" si="17"/>
        <v>Mi</v>
      </c>
      <c r="AG6" s="597">
        <f t="shared" si="18"/>
        <v>0.35</v>
      </c>
      <c r="AH6" s="598">
        <v>5</v>
      </c>
      <c r="AI6" s="596" t="str">
        <f t="shared" si="19"/>
        <v>Fr</v>
      </c>
      <c r="AJ6" s="597">
        <f t="shared" si="20"/>
        <v>0.35</v>
      </c>
      <c r="AK6" s="599"/>
    </row>
    <row r="7" spans="1:37" ht="12" customHeight="1" x14ac:dyDescent="0.2">
      <c r="A7" s="595">
        <v>6</v>
      </c>
      <c r="B7" s="596" t="str">
        <f t="shared" si="21"/>
        <v>So</v>
      </c>
      <c r="C7" s="597">
        <f t="shared" si="22"/>
        <v>0</v>
      </c>
      <c r="D7" s="598">
        <v>6</v>
      </c>
      <c r="E7" s="596" t="str">
        <f t="shared" si="23"/>
        <v>Mi</v>
      </c>
      <c r="F7" s="597">
        <f t="shared" si="0"/>
        <v>0.35</v>
      </c>
      <c r="G7" s="598">
        <v>6</v>
      </c>
      <c r="H7" s="596" t="str">
        <f t="shared" si="1"/>
        <v>Do</v>
      </c>
      <c r="I7" s="597">
        <f t="shared" si="2"/>
        <v>0.35</v>
      </c>
      <c r="J7" s="598">
        <v>6</v>
      </c>
      <c r="K7" s="596" t="str">
        <f t="shared" si="3"/>
        <v>So</v>
      </c>
      <c r="L7" s="597">
        <f t="shared" si="4"/>
        <v>0</v>
      </c>
      <c r="M7" s="598">
        <v>6</v>
      </c>
      <c r="N7" s="596" t="str">
        <f t="shared" si="5"/>
        <v>Di</v>
      </c>
      <c r="O7" s="597">
        <f t="shared" si="6"/>
        <v>0.35</v>
      </c>
      <c r="P7" s="598">
        <v>6</v>
      </c>
      <c r="Q7" s="596" t="str">
        <f t="shared" si="7"/>
        <v>Fr</v>
      </c>
      <c r="R7" s="597">
        <f t="shared" si="8"/>
        <v>0.35</v>
      </c>
      <c r="S7" s="598">
        <v>6</v>
      </c>
      <c r="T7" s="596" t="str">
        <f t="shared" si="9"/>
        <v>So</v>
      </c>
      <c r="U7" s="597">
        <f t="shared" si="10"/>
        <v>0</v>
      </c>
      <c r="V7" s="598">
        <v>6</v>
      </c>
      <c r="W7" s="596" t="str">
        <f t="shared" si="11"/>
        <v>Mi</v>
      </c>
      <c r="X7" s="597">
        <f t="shared" si="12"/>
        <v>0.35</v>
      </c>
      <c r="Y7" s="598">
        <v>6</v>
      </c>
      <c r="Z7" s="596" t="str">
        <f t="shared" si="13"/>
        <v>Sa</v>
      </c>
      <c r="AA7" s="597">
        <f t="shared" si="14"/>
        <v>0</v>
      </c>
      <c r="AB7" s="598">
        <v>6</v>
      </c>
      <c r="AC7" s="596" t="str">
        <f t="shared" si="15"/>
        <v>Mo</v>
      </c>
      <c r="AD7" s="597">
        <f t="shared" si="16"/>
        <v>0.35</v>
      </c>
      <c r="AE7" s="598">
        <v>6</v>
      </c>
      <c r="AF7" s="596" t="str">
        <f t="shared" si="17"/>
        <v>Do</v>
      </c>
      <c r="AG7" s="597">
        <f t="shared" si="18"/>
        <v>0.35</v>
      </c>
      <c r="AH7" s="598">
        <v>6</v>
      </c>
      <c r="AI7" s="596" t="str">
        <f t="shared" si="19"/>
        <v>Sa</v>
      </c>
      <c r="AJ7" s="597">
        <f t="shared" si="20"/>
        <v>0</v>
      </c>
      <c r="AK7" s="599"/>
    </row>
    <row r="8" spans="1:37" ht="12" customHeight="1" x14ac:dyDescent="0.2">
      <c r="A8" s="595">
        <v>7</v>
      </c>
      <c r="B8" s="596" t="str">
        <f t="shared" si="21"/>
        <v>Mo</v>
      </c>
      <c r="C8" s="597">
        <f t="shared" si="22"/>
        <v>0.35</v>
      </c>
      <c r="D8" s="598">
        <v>7</v>
      </c>
      <c r="E8" s="596" t="str">
        <f t="shared" si="23"/>
        <v>Do</v>
      </c>
      <c r="F8" s="597">
        <f t="shared" si="0"/>
        <v>0.35</v>
      </c>
      <c r="G8" s="598">
        <v>7</v>
      </c>
      <c r="H8" s="596" t="str">
        <f t="shared" si="1"/>
        <v>Fr</v>
      </c>
      <c r="I8" s="597">
        <f t="shared" si="2"/>
        <v>0.35</v>
      </c>
      <c r="J8" s="598">
        <v>7</v>
      </c>
      <c r="K8" s="596" t="str">
        <f t="shared" si="3"/>
        <v>Mo</v>
      </c>
      <c r="L8" s="597">
        <f t="shared" si="4"/>
        <v>0.35</v>
      </c>
      <c r="M8" s="598">
        <v>7</v>
      </c>
      <c r="N8" s="596" t="str">
        <f t="shared" si="5"/>
        <v>Mi</v>
      </c>
      <c r="O8" s="597">
        <f t="shared" si="6"/>
        <v>0.35</v>
      </c>
      <c r="P8" s="598">
        <v>7</v>
      </c>
      <c r="Q8" s="596" t="str">
        <f t="shared" si="7"/>
        <v>Sa</v>
      </c>
      <c r="R8" s="597">
        <f t="shared" si="8"/>
        <v>0</v>
      </c>
      <c r="S8" s="598">
        <v>7</v>
      </c>
      <c r="T8" s="596" t="str">
        <f t="shared" si="9"/>
        <v>Mo</v>
      </c>
      <c r="U8" s="597">
        <f t="shared" si="10"/>
        <v>0.35</v>
      </c>
      <c r="V8" s="598">
        <v>7</v>
      </c>
      <c r="W8" s="596" t="str">
        <f t="shared" si="11"/>
        <v>Do</v>
      </c>
      <c r="X8" s="597">
        <f t="shared" si="12"/>
        <v>0.35</v>
      </c>
      <c r="Y8" s="598">
        <v>7</v>
      </c>
      <c r="Z8" s="596" t="str">
        <f t="shared" si="13"/>
        <v>So</v>
      </c>
      <c r="AA8" s="597">
        <f t="shared" si="14"/>
        <v>0</v>
      </c>
      <c r="AB8" s="598">
        <v>7</v>
      </c>
      <c r="AC8" s="596" t="str">
        <f t="shared" si="15"/>
        <v>Di</v>
      </c>
      <c r="AD8" s="597">
        <f t="shared" si="16"/>
        <v>0.35</v>
      </c>
      <c r="AE8" s="598">
        <v>7</v>
      </c>
      <c r="AF8" s="596" t="str">
        <f t="shared" si="17"/>
        <v>Fr</v>
      </c>
      <c r="AG8" s="597">
        <f t="shared" si="18"/>
        <v>0.35</v>
      </c>
      <c r="AH8" s="598">
        <v>7</v>
      </c>
      <c r="AI8" s="596" t="str">
        <f t="shared" si="19"/>
        <v>So</v>
      </c>
      <c r="AJ8" s="597">
        <f t="shared" si="20"/>
        <v>0</v>
      </c>
      <c r="AK8" s="599"/>
    </row>
    <row r="9" spans="1:37" ht="12" customHeight="1" x14ac:dyDescent="0.2">
      <c r="A9" s="595">
        <v>8</v>
      </c>
      <c r="B9" s="596" t="str">
        <f t="shared" si="21"/>
        <v>Di</v>
      </c>
      <c r="C9" s="597">
        <f t="shared" si="22"/>
        <v>0.35</v>
      </c>
      <c r="D9" s="598">
        <v>8</v>
      </c>
      <c r="E9" s="596" t="str">
        <f t="shared" si="23"/>
        <v>Fr</v>
      </c>
      <c r="F9" s="597">
        <f t="shared" si="0"/>
        <v>0.35</v>
      </c>
      <c r="G9" s="598">
        <v>8</v>
      </c>
      <c r="H9" s="596" t="str">
        <f t="shared" si="1"/>
        <v>Sa</v>
      </c>
      <c r="I9" s="597">
        <f t="shared" si="2"/>
        <v>0</v>
      </c>
      <c r="J9" s="598">
        <v>8</v>
      </c>
      <c r="K9" s="596" t="str">
        <f t="shared" si="3"/>
        <v>Di</v>
      </c>
      <c r="L9" s="597">
        <f t="shared" si="4"/>
        <v>0.35</v>
      </c>
      <c r="M9" s="598">
        <v>8</v>
      </c>
      <c r="N9" s="596" t="str">
        <f t="shared" si="5"/>
        <v>Do</v>
      </c>
      <c r="O9" s="597">
        <f t="shared" si="6"/>
        <v>0.35</v>
      </c>
      <c r="P9" s="598">
        <v>8</v>
      </c>
      <c r="Q9" s="596" t="str">
        <f t="shared" si="7"/>
        <v>So</v>
      </c>
      <c r="R9" s="597">
        <f t="shared" si="8"/>
        <v>0</v>
      </c>
      <c r="S9" s="598">
        <v>8</v>
      </c>
      <c r="T9" s="596" t="str">
        <f t="shared" si="9"/>
        <v>Di</v>
      </c>
      <c r="U9" s="597">
        <f t="shared" si="10"/>
        <v>0.35</v>
      </c>
      <c r="V9" s="598">
        <v>8</v>
      </c>
      <c r="W9" s="596" t="str">
        <f t="shared" si="11"/>
        <v>Fr</v>
      </c>
      <c r="X9" s="597">
        <f t="shared" si="12"/>
        <v>0.35</v>
      </c>
      <c r="Y9" s="598">
        <v>8</v>
      </c>
      <c r="Z9" s="596" t="str">
        <f t="shared" si="13"/>
        <v>Mo</v>
      </c>
      <c r="AA9" s="597">
        <f t="shared" si="14"/>
        <v>0.35</v>
      </c>
      <c r="AB9" s="598">
        <v>8</v>
      </c>
      <c r="AC9" s="596" t="str">
        <f t="shared" si="15"/>
        <v>Mi</v>
      </c>
      <c r="AD9" s="597">
        <f t="shared" si="16"/>
        <v>0.35</v>
      </c>
      <c r="AE9" s="598">
        <v>8</v>
      </c>
      <c r="AF9" s="596" t="str">
        <f t="shared" si="17"/>
        <v>Sa</v>
      </c>
      <c r="AG9" s="597">
        <f t="shared" si="18"/>
        <v>0</v>
      </c>
      <c r="AH9" s="598">
        <v>8</v>
      </c>
      <c r="AI9" s="596" t="str">
        <f t="shared" si="19"/>
        <v>Mo</v>
      </c>
      <c r="AJ9" s="597">
        <f t="shared" si="20"/>
        <v>0.35</v>
      </c>
      <c r="AK9" s="599"/>
    </row>
    <row r="10" spans="1:37" ht="12" customHeight="1" x14ac:dyDescent="0.2">
      <c r="A10" s="595">
        <v>9</v>
      </c>
      <c r="B10" s="596" t="str">
        <f t="shared" si="21"/>
        <v>Mi</v>
      </c>
      <c r="C10" s="597">
        <f t="shared" ref="C10:C32" si="24">IF(ISERROR(VLOOKUP(DATE($AK$1,C$1,A10),Feste,1,FALSE)),VLOOKUP(B10,Arbeitstage,2),VLOOKUP(DATE($AK$1,C$1,A10),Feste,6,FALSE))</f>
        <v>0.35</v>
      </c>
      <c r="D10" s="598">
        <v>9</v>
      </c>
      <c r="E10" s="596" t="str">
        <f t="shared" si="23"/>
        <v>Sa</v>
      </c>
      <c r="F10" s="597">
        <f t="shared" si="0"/>
        <v>0</v>
      </c>
      <c r="G10" s="598">
        <v>9</v>
      </c>
      <c r="H10" s="596" t="str">
        <f t="shared" si="1"/>
        <v>So</v>
      </c>
      <c r="I10" s="597">
        <f t="shared" si="2"/>
        <v>0</v>
      </c>
      <c r="J10" s="598">
        <v>9</v>
      </c>
      <c r="K10" s="596" t="str">
        <f t="shared" si="3"/>
        <v>Mi</v>
      </c>
      <c r="L10" s="597">
        <f t="shared" si="4"/>
        <v>0.35</v>
      </c>
      <c r="M10" s="598">
        <v>9</v>
      </c>
      <c r="N10" s="596" t="str">
        <f t="shared" si="5"/>
        <v>Fr</v>
      </c>
      <c r="O10" s="597">
        <f t="shared" si="6"/>
        <v>0.35</v>
      </c>
      <c r="P10" s="598">
        <v>9</v>
      </c>
      <c r="Q10" s="596" t="str">
        <f t="shared" si="7"/>
        <v>Mo</v>
      </c>
      <c r="R10" s="597">
        <f t="shared" si="8"/>
        <v>0.35</v>
      </c>
      <c r="S10" s="598">
        <v>9</v>
      </c>
      <c r="T10" s="596" t="str">
        <f t="shared" si="9"/>
        <v>Mi</v>
      </c>
      <c r="U10" s="597">
        <f t="shared" si="10"/>
        <v>0.35</v>
      </c>
      <c r="V10" s="598">
        <v>9</v>
      </c>
      <c r="W10" s="596" t="str">
        <f t="shared" si="11"/>
        <v>Sa</v>
      </c>
      <c r="X10" s="597">
        <f t="shared" si="12"/>
        <v>0</v>
      </c>
      <c r="Y10" s="598">
        <v>9</v>
      </c>
      <c r="Z10" s="596" t="str">
        <f t="shared" si="13"/>
        <v>Di</v>
      </c>
      <c r="AA10" s="597">
        <f t="shared" si="14"/>
        <v>0.35</v>
      </c>
      <c r="AB10" s="598">
        <v>9</v>
      </c>
      <c r="AC10" s="596" t="str">
        <f t="shared" si="15"/>
        <v>Do</v>
      </c>
      <c r="AD10" s="597">
        <f t="shared" si="16"/>
        <v>0.35</v>
      </c>
      <c r="AE10" s="598">
        <v>9</v>
      </c>
      <c r="AF10" s="596" t="str">
        <f t="shared" si="17"/>
        <v>So</v>
      </c>
      <c r="AG10" s="597">
        <f t="shared" si="18"/>
        <v>0</v>
      </c>
      <c r="AH10" s="598">
        <v>9</v>
      </c>
      <c r="AI10" s="596" t="str">
        <f t="shared" si="19"/>
        <v>Di</v>
      </c>
      <c r="AJ10" s="597">
        <f t="shared" si="20"/>
        <v>0.35</v>
      </c>
      <c r="AK10" s="599"/>
    </row>
    <row r="11" spans="1:37" ht="12" customHeight="1" x14ac:dyDescent="0.2">
      <c r="A11" s="595">
        <v>10</v>
      </c>
      <c r="B11" s="596" t="str">
        <f t="shared" si="21"/>
        <v>Do</v>
      </c>
      <c r="C11" s="597">
        <f t="shared" si="24"/>
        <v>0.35</v>
      </c>
      <c r="D11" s="598">
        <v>10</v>
      </c>
      <c r="E11" s="596" t="str">
        <f t="shared" si="23"/>
        <v>So</v>
      </c>
      <c r="F11" s="597">
        <f t="shared" si="0"/>
        <v>0</v>
      </c>
      <c r="G11" s="598">
        <v>10</v>
      </c>
      <c r="H11" s="596" t="str">
        <f t="shared" si="1"/>
        <v>Mo</v>
      </c>
      <c r="I11" s="597">
        <f t="shared" si="2"/>
        <v>0.35</v>
      </c>
      <c r="J11" s="598">
        <v>10</v>
      </c>
      <c r="K11" s="596" t="str">
        <f t="shared" si="3"/>
        <v>Do</v>
      </c>
      <c r="L11" s="597">
        <f t="shared" si="4"/>
        <v>0.35</v>
      </c>
      <c r="M11" s="598">
        <v>10</v>
      </c>
      <c r="N11" s="596" t="str">
        <f t="shared" si="5"/>
        <v>Sa</v>
      </c>
      <c r="O11" s="597">
        <f t="shared" si="6"/>
        <v>0</v>
      </c>
      <c r="P11" s="598">
        <v>10</v>
      </c>
      <c r="Q11" s="596" t="str">
        <f t="shared" si="7"/>
        <v>Di</v>
      </c>
      <c r="R11" s="597">
        <f t="shared" si="8"/>
        <v>0.35</v>
      </c>
      <c r="S11" s="598">
        <v>10</v>
      </c>
      <c r="T11" s="596" t="str">
        <f t="shared" si="9"/>
        <v>Do</v>
      </c>
      <c r="U11" s="597">
        <f t="shared" si="10"/>
        <v>0.35</v>
      </c>
      <c r="V11" s="598">
        <v>10</v>
      </c>
      <c r="W11" s="596" t="str">
        <f t="shared" si="11"/>
        <v>So</v>
      </c>
      <c r="X11" s="597">
        <f t="shared" si="12"/>
        <v>0</v>
      </c>
      <c r="Y11" s="598">
        <v>10</v>
      </c>
      <c r="Z11" s="596" t="str">
        <f t="shared" si="13"/>
        <v>Mi</v>
      </c>
      <c r="AA11" s="597">
        <f t="shared" si="14"/>
        <v>0.35</v>
      </c>
      <c r="AB11" s="598">
        <v>10</v>
      </c>
      <c r="AC11" s="596" t="str">
        <f t="shared" si="15"/>
        <v>Fr</v>
      </c>
      <c r="AD11" s="597">
        <f t="shared" si="16"/>
        <v>0.35</v>
      </c>
      <c r="AE11" s="598">
        <v>10</v>
      </c>
      <c r="AF11" s="596" t="str">
        <f t="shared" si="17"/>
        <v>Mo</v>
      </c>
      <c r="AG11" s="597">
        <f t="shared" si="18"/>
        <v>0.35</v>
      </c>
      <c r="AH11" s="598">
        <v>10</v>
      </c>
      <c r="AI11" s="596" t="str">
        <f t="shared" si="19"/>
        <v>Mi</v>
      </c>
      <c r="AJ11" s="597">
        <f t="shared" si="20"/>
        <v>0.35</v>
      </c>
      <c r="AK11" s="599"/>
    </row>
    <row r="12" spans="1:37" ht="12" customHeight="1" x14ac:dyDescent="0.2">
      <c r="A12" s="595">
        <v>11</v>
      </c>
      <c r="B12" s="596" t="str">
        <f t="shared" si="21"/>
        <v>Fr</v>
      </c>
      <c r="C12" s="597">
        <f t="shared" si="24"/>
        <v>0.35</v>
      </c>
      <c r="D12" s="598">
        <v>11</v>
      </c>
      <c r="E12" s="596" t="str">
        <f t="shared" si="23"/>
        <v>Mo</v>
      </c>
      <c r="F12" s="597">
        <f t="shared" si="0"/>
        <v>0.35</v>
      </c>
      <c r="G12" s="598">
        <v>11</v>
      </c>
      <c r="H12" s="596" t="str">
        <f t="shared" si="1"/>
        <v>Di</v>
      </c>
      <c r="I12" s="597">
        <f t="shared" si="2"/>
        <v>0.35</v>
      </c>
      <c r="J12" s="598">
        <v>11</v>
      </c>
      <c r="K12" s="596" t="str">
        <f t="shared" si="3"/>
        <v>Fr</v>
      </c>
      <c r="L12" s="597">
        <f t="shared" si="4"/>
        <v>0.35</v>
      </c>
      <c r="M12" s="598">
        <v>11</v>
      </c>
      <c r="N12" s="596" t="str">
        <f t="shared" si="5"/>
        <v>Pfingsten</v>
      </c>
      <c r="O12" s="597" t="str">
        <f t="shared" si="6"/>
        <v/>
      </c>
      <c r="P12" s="598">
        <v>11</v>
      </c>
      <c r="Q12" s="596" t="str">
        <f t="shared" si="7"/>
        <v>Mi</v>
      </c>
      <c r="R12" s="597">
        <f t="shared" si="8"/>
        <v>0.35</v>
      </c>
      <c r="S12" s="598">
        <v>11</v>
      </c>
      <c r="T12" s="596" t="str">
        <f t="shared" si="9"/>
        <v>Fr</v>
      </c>
      <c r="U12" s="597">
        <f t="shared" si="10"/>
        <v>0.35</v>
      </c>
      <c r="V12" s="598">
        <v>11</v>
      </c>
      <c r="W12" s="596" t="str">
        <f t="shared" si="11"/>
        <v>Mo</v>
      </c>
      <c r="X12" s="597">
        <f t="shared" si="12"/>
        <v>0.35</v>
      </c>
      <c r="Y12" s="598">
        <v>11</v>
      </c>
      <c r="Z12" s="596" t="s">
        <v>456</v>
      </c>
      <c r="AA12" s="597">
        <v>0.35</v>
      </c>
      <c r="AB12" s="598">
        <v>11</v>
      </c>
      <c r="AC12" s="596" t="str">
        <f t="shared" si="15"/>
        <v>Sa</v>
      </c>
      <c r="AD12" s="597">
        <f t="shared" si="16"/>
        <v>0</v>
      </c>
      <c r="AE12" s="598">
        <v>11</v>
      </c>
      <c r="AF12" s="596" t="str">
        <f t="shared" si="17"/>
        <v>Di</v>
      </c>
      <c r="AG12" s="597">
        <f t="shared" si="18"/>
        <v>0.35</v>
      </c>
      <c r="AH12" s="598">
        <v>11</v>
      </c>
      <c r="AI12" s="596" t="str">
        <f t="shared" si="19"/>
        <v>Do</v>
      </c>
      <c r="AJ12" s="597">
        <f t="shared" si="20"/>
        <v>0.35</v>
      </c>
      <c r="AK12" s="599"/>
    </row>
    <row r="13" spans="1:37" ht="12" customHeight="1" x14ac:dyDescent="0.2">
      <c r="A13" s="595">
        <v>12</v>
      </c>
      <c r="B13" s="596" t="str">
        <f t="shared" si="21"/>
        <v>Sa</v>
      </c>
      <c r="C13" s="597">
        <f t="shared" si="24"/>
        <v>0</v>
      </c>
      <c r="D13" s="598">
        <v>12</v>
      </c>
      <c r="E13" s="596" t="str">
        <f t="shared" si="23"/>
        <v>Di</v>
      </c>
      <c r="F13" s="597">
        <f t="shared" si="0"/>
        <v>0.35</v>
      </c>
      <c r="G13" s="598">
        <v>12</v>
      </c>
      <c r="H13" s="596" t="str">
        <f t="shared" si="1"/>
        <v>Mi</v>
      </c>
      <c r="I13" s="597">
        <f t="shared" si="2"/>
        <v>0.35</v>
      </c>
      <c r="J13" s="598">
        <v>12</v>
      </c>
      <c r="K13" s="596" t="str">
        <f t="shared" si="3"/>
        <v>Sa</v>
      </c>
      <c r="L13" s="597">
        <f t="shared" si="4"/>
        <v>0</v>
      </c>
      <c r="M13" s="598">
        <v>12</v>
      </c>
      <c r="N13" s="596" t="str">
        <f t="shared" si="5"/>
        <v>Pfingstmontag</v>
      </c>
      <c r="O13" s="597">
        <f t="shared" si="6"/>
        <v>0</v>
      </c>
      <c r="P13" s="598">
        <v>12</v>
      </c>
      <c r="Q13" s="596" t="str">
        <f t="shared" si="7"/>
        <v>Do</v>
      </c>
      <c r="R13" s="597">
        <f t="shared" si="8"/>
        <v>0.35</v>
      </c>
      <c r="S13" s="598">
        <v>12</v>
      </c>
      <c r="T13" s="596" t="str">
        <f t="shared" si="9"/>
        <v>Sa</v>
      </c>
      <c r="U13" s="597">
        <f t="shared" si="10"/>
        <v>0</v>
      </c>
      <c r="V13" s="598">
        <v>12</v>
      </c>
      <c r="W13" s="596" t="str">
        <f t="shared" si="11"/>
        <v>Di</v>
      </c>
      <c r="X13" s="597">
        <f t="shared" si="12"/>
        <v>0.35</v>
      </c>
      <c r="Y13" s="598">
        <v>12</v>
      </c>
      <c r="Z13" s="596" t="str">
        <f t="shared" si="13"/>
        <v>Fr</v>
      </c>
      <c r="AA13" s="597">
        <f t="shared" si="14"/>
        <v>0.35</v>
      </c>
      <c r="AB13" s="598">
        <v>12</v>
      </c>
      <c r="AC13" s="596" t="str">
        <f t="shared" si="15"/>
        <v>So</v>
      </c>
      <c r="AD13" s="597">
        <f t="shared" si="16"/>
        <v>0</v>
      </c>
      <c r="AE13" s="598">
        <v>12</v>
      </c>
      <c r="AF13" s="596" t="str">
        <f t="shared" si="17"/>
        <v>Mi</v>
      </c>
      <c r="AG13" s="597">
        <f t="shared" si="18"/>
        <v>0.35</v>
      </c>
      <c r="AH13" s="598">
        <v>12</v>
      </c>
      <c r="AI13" s="596" t="str">
        <f t="shared" si="19"/>
        <v>Fr</v>
      </c>
      <c r="AJ13" s="597">
        <f t="shared" si="20"/>
        <v>0.35</v>
      </c>
      <c r="AK13" s="599"/>
    </row>
    <row r="14" spans="1:37" ht="12" customHeight="1" x14ac:dyDescent="0.2">
      <c r="A14" s="595">
        <v>13</v>
      </c>
      <c r="B14" s="596" t="str">
        <f t="shared" si="21"/>
        <v>So</v>
      </c>
      <c r="C14" s="597">
        <f t="shared" si="24"/>
        <v>0</v>
      </c>
      <c r="D14" s="598">
        <v>13</v>
      </c>
      <c r="E14" s="596" t="str">
        <f t="shared" si="23"/>
        <v>Mi</v>
      </c>
      <c r="F14" s="597">
        <f t="shared" si="0"/>
        <v>0.35</v>
      </c>
      <c r="G14" s="598">
        <v>13</v>
      </c>
      <c r="H14" s="596" t="str">
        <f t="shared" si="1"/>
        <v>Do</v>
      </c>
      <c r="I14" s="597">
        <f t="shared" si="2"/>
        <v>0.35</v>
      </c>
      <c r="J14" s="598">
        <v>13</v>
      </c>
      <c r="K14" s="596" t="str">
        <f>IF(ISERROR(VLOOKUP(DATE($AK$1,L$1,J14),Feste,1,FALSE)),VLOOKUP(WEEKDAY(DATE($AK$1,L$1,J14)),Tage,2),VLOOKUP(DATE($AK$1,L$1,J14),Feste,8,FALSE))</f>
        <v>So</v>
      </c>
      <c r="L14" s="597">
        <f t="shared" si="4"/>
        <v>0</v>
      </c>
      <c r="M14" s="598">
        <v>13</v>
      </c>
      <c r="N14" s="596" t="str">
        <f t="shared" si="5"/>
        <v>Di</v>
      </c>
      <c r="O14" s="597">
        <f t="shared" si="6"/>
        <v>0.35</v>
      </c>
      <c r="P14" s="598">
        <v>13</v>
      </c>
      <c r="Q14" s="596" t="str">
        <f t="shared" si="7"/>
        <v>Fr</v>
      </c>
      <c r="R14" s="597">
        <f t="shared" si="8"/>
        <v>0.35</v>
      </c>
      <c r="S14" s="598">
        <v>13</v>
      </c>
      <c r="T14" s="596" t="str">
        <f t="shared" si="9"/>
        <v>So</v>
      </c>
      <c r="U14" s="597">
        <f t="shared" si="10"/>
        <v>0</v>
      </c>
      <c r="V14" s="598">
        <v>13</v>
      </c>
      <c r="W14" s="596" t="str">
        <f t="shared" si="11"/>
        <v>Mi</v>
      </c>
      <c r="X14" s="597">
        <f t="shared" si="12"/>
        <v>0.35</v>
      </c>
      <c r="Y14" s="598">
        <v>13</v>
      </c>
      <c r="Z14" s="596" t="str">
        <f t="shared" si="13"/>
        <v>Sa</v>
      </c>
      <c r="AA14" s="597">
        <f t="shared" si="14"/>
        <v>0</v>
      </c>
      <c r="AB14" s="598">
        <v>13</v>
      </c>
      <c r="AC14" s="596" t="str">
        <f t="shared" si="15"/>
        <v>Mo</v>
      </c>
      <c r="AD14" s="597">
        <f t="shared" si="16"/>
        <v>0.35</v>
      </c>
      <c r="AE14" s="598">
        <v>13</v>
      </c>
      <c r="AF14" s="596" t="str">
        <f t="shared" si="17"/>
        <v>Do</v>
      </c>
      <c r="AG14" s="597">
        <f t="shared" si="18"/>
        <v>0.35</v>
      </c>
      <c r="AH14" s="598">
        <v>13</v>
      </c>
      <c r="AI14" s="596" t="str">
        <f t="shared" si="19"/>
        <v>Sa</v>
      </c>
      <c r="AJ14" s="597">
        <f t="shared" si="20"/>
        <v>0</v>
      </c>
      <c r="AK14" s="599"/>
    </row>
    <row r="15" spans="1:37" ht="12" customHeight="1" x14ac:dyDescent="0.2">
      <c r="A15" s="595">
        <v>14</v>
      </c>
      <c r="B15" s="596" t="str">
        <f t="shared" si="21"/>
        <v>Mo</v>
      </c>
      <c r="C15" s="597">
        <f t="shared" si="24"/>
        <v>0.35</v>
      </c>
      <c r="D15" s="598">
        <v>14</v>
      </c>
      <c r="E15" s="596" t="str">
        <f t="shared" si="23"/>
        <v>Do</v>
      </c>
      <c r="F15" s="597">
        <f t="shared" si="0"/>
        <v>0.35</v>
      </c>
      <c r="G15" s="598">
        <v>14</v>
      </c>
      <c r="H15" s="596" t="str">
        <f t="shared" si="1"/>
        <v>Fr</v>
      </c>
      <c r="I15" s="597">
        <f t="shared" si="2"/>
        <v>0.35</v>
      </c>
      <c r="J15" s="598">
        <v>14</v>
      </c>
      <c r="K15" s="596" t="str">
        <f t="shared" si="3"/>
        <v>Mo</v>
      </c>
      <c r="L15" s="597">
        <f t="shared" si="4"/>
        <v>0.35</v>
      </c>
      <c r="M15" s="598">
        <v>14</v>
      </c>
      <c r="N15" s="596" t="str">
        <f t="shared" si="5"/>
        <v>Mi</v>
      </c>
      <c r="O15" s="597">
        <f t="shared" si="6"/>
        <v>0.35</v>
      </c>
      <c r="P15" s="598">
        <v>14</v>
      </c>
      <c r="Q15" s="596" t="str">
        <f t="shared" si="7"/>
        <v>Sa</v>
      </c>
      <c r="R15" s="597">
        <f t="shared" si="8"/>
        <v>0</v>
      </c>
      <c r="S15" s="598">
        <v>14</v>
      </c>
      <c r="T15" s="596" t="str">
        <f t="shared" si="9"/>
        <v>Mo</v>
      </c>
      <c r="U15" s="597">
        <f t="shared" si="10"/>
        <v>0.35</v>
      </c>
      <c r="V15" s="598">
        <v>14</v>
      </c>
      <c r="W15" s="596" t="str">
        <f t="shared" si="11"/>
        <v>Do</v>
      </c>
      <c r="X15" s="597">
        <f t="shared" si="12"/>
        <v>0.35</v>
      </c>
      <c r="Y15" s="598">
        <v>14</v>
      </c>
      <c r="Z15" s="596" t="str">
        <f t="shared" si="13"/>
        <v>So</v>
      </c>
      <c r="AA15" s="597">
        <f t="shared" si="14"/>
        <v>0</v>
      </c>
      <c r="AB15" s="598">
        <v>14</v>
      </c>
      <c r="AC15" s="596" t="str">
        <f t="shared" si="15"/>
        <v>Di</v>
      </c>
      <c r="AD15" s="597">
        <f t="shared" si="16"/>
        <v>0.35</v>
      </c>
      <c r="AE15" s="598">
        <v>14</v>
      </c>
      <c r="AF15" s="596" t="str">
        <f t="shared" si="17"/>
        <v>Fr</v>
      </c>
      <c r="AG15" s="597">
        <f t="shared" si="18"/>
        <v>0.35</v>
      </c>
      <c r="AH15" s="598">
        <v>14</v>
      </c>
      <c r="AI15" s="596" t="str">
        <f t="shared" si="19"/>
        <v>So</v>
      </c>
      <c r="AJ15" s="597">
        <f t="shared" si="20"/>
        <v>0</v>
      </c>
      <c r="AK15" s="599"/>
    </row>
    <row r="16" spans="1:37" ht="12" customHeight="1" x14ac:dyDescent="0.2">
      <c r="A16" s="595">
        <v>15</v>
      </c>
      <c r="B16" s="596" t="str">
        <f t="shared" si="21"/>
        <v>Di</v>
      </c>
      <c r="C16" s="597">
        <f t="shared" si="24"/>
        <v>0.35</v>
      </c>
      <c r="D16" s="598">
        <v>15</v>
      </c>
      <c r="E16" s="596" t="str">
        <f t="shared" si="23"/>
        <v>Fr</v>
      </c>
      <c r="F16" s="597">
        <f t="shared" si="0"/>
        <v>0.35</v>
      </c>
      <c r="G16" s="598">
        <v>15</v>
      </c>
      <c r="H16" s="596" t="str">
        <f t="shared" si="1"/>
        <v>Sa</v>
      </c>
      <c r="I16" s="597">
        <f t="shared" si="2"/>
        <v>0</v>
      </c>
      <c r="J16" s="598">
        <v>15</v>
      </c>
      <c r="K16" s="596" t="str">
        <f t="shared" si="3"/>
        <v>Di</v>
      </c>
      <c r="L16" s="597">
        <f t="shared" si="4"/>
        <v>0.35</v>
      </c>
      <c r="M16" s="598">
        <v>15</v>
      </c>
      <c r="N16" s="596" t="str">
        <f t="shared" si="5"/>
        <v>Do</v>
      </c>
      <c r="O16" s="597">
        <f t="shared" si="6"/>
        <v>0.35</v>
      </c>
      <c r="P16" s="598">
        <v>15</v>
      </c>
      <c r="Q16" s="596" t="str">
        <f>IF(ISERROR(VLOOKUP(DATE($AK$1,R$1,P16),Feste,1,FALSE)),VLOOKUP(WEEKDAY(DATE($AK$1,R$1,P16)),Tage,2),VLOOKUP(DATE($AK$1,R$1,P16),Feste,8,FALSE))</f>
        <v>So</v>
      </c>
      <c r="R16" s="597">
        <f>IF(ISERROR(VLOOKUP(DATE($AK$1,R$1,P16),Feste,1,FALSE)),VLOOKUP(Q16,Arbeitstage,2),VLOOKUP(DATE($AK$1,R$1,P16),Feste,6,FALSE))</f>
        <v>0</v>
      </c>
      <c r="S16" s="598">
        <v>15</v>
      </c>
      <c r="T16" s="596" t="str">
        <f t="shared" si="9"/>
        <v>Di</v>
      </c>
      <c r="U16" s="597">
        <f t="shared" si="10"/>
        <v>0.35</v>
      </c>
      <c r="V16" s="598">
        <v>15</v>
      </c>
      <c r="W16" s="596" t="str">
        <f t="shared" si="11"/>
        <v>Fr</v>
      </c>
      <c r="X16" s="597">
        <f t="shared" si="12"/>
        <v>0.35</v>
      </c>
      <c r="Y16" s="598">
        <v>15</v>
      </c>
      <c r="Z16" s="596" t="str">
        <f t="shared" si="13"/>
        <v>Mo</v>
      </c>
      <c r="AA16" s="597">
        <f t="shared" si="14"/>
        <v>0.35</v>
      </c>
      <c r="AB16" s="598">
        <v>15</v>
      </c>
      <c r="AC16" s="596" t="str">
        <f t="shared" si="15"/>
        <v>Mi</v>
      </c>
      <c r="AD16" s="597">
        <f t="shared" si="16"/>
        <v>0.35</v>
      </c>
      <c r="AE16" s="598">
        <v>15</v>
      </c>
      <c r="AF16" s="596" t="str">
        <f t="shared" si="17"/>
        <v>Sa</v>
      </c>
      <c r="AG16" s="597">
        <f t="shared" si="18"/>
        <v>0</v>
      </c>
      <c r="AH16" s="598">
        <v>15</v>
      </c>
      <c r="AI16" s="596" t="str">
        <f t="shared" si="19"/>
        <v>Mo</v>
      </c>
      <c r="AJ16" s="597">
        <f t="shared" si="20"/>
        <v>0.35</v>
      </c>
      <c r="AK16" s="599"/>
    </row>
    <row r="17" spans="1:37" ht="12" customHeight="1" x14ac:dyDescent="0.2">
      <c r="A17" s="595">
        <v>16</v>
      </c>
      <c r="B17" s="596" t="str">
        <f t="shared" si="21"/>
        <v>Mi</v>
      </c>
      <c r="C17" s="597">
        <f t="shared" si="24"/>
        <v>0.35</v>
      </c>
      <c r="D17" s="598">
        <v>16</v>
      </c>
      <c r="E17" s="596" t="str">
        <f t="shared" si="23"/>
        <v>Sa</v>
      </c>
      <c r="F17" s="597">
        <f t="shared" si="0"/>
        <v>0</v>
      </c>
      <c r="G17" s="598">
        <v>16</v>
      </c>
      <c r="H17" s="596" t="str">
        <f t="shared" si="1"/>
        <v>So</v>
      </c>
      <c r="I17" s="597">
        <f t="shared" si="2"/>
        <v>0</v>
      </c>
      <c r="J17" s="598">
        <v>16</v>
      </c>
      <c r="K17" s="596" t="str">
        <f t="shared" si="3"/>
        <v>Mi</v>
      </c>
      <c r="L17" s="597">
        <f t="shared" si="4"/>
        <v>0.35</v>
      </c>
      <c r="M17" s="598">
        <v>16</v>
      </c>
      <c r="N17" s="596" t="str">
        <f t="shared" si="5"/>
        <v>Fr</v>
      </c>
      <c r="O17" s="597">
        <f t="shared" si="6"/>
        <v>0.35</v>
      </c>
      <c r="P17" s="598">
        <v>16</v>
      </c>
      <c r="Q17" s="596" t="str">
        <f t="shared" si="7"/>
        <v>Mo</v>
      </c>
      <c r="R17" s="597">
        <f t="shared" si="8"/>
        <v>0.35</v>
      </c>
      <c r="S17" s="598">
        <v>16</v>
      </c>
      <c r="T17" s="596" t="str">
        <f t="shared" si="9"/>
        <v>Mi</v>
      </c>
      <c r="U17" s="597">
        <f t="shared" si="10"/>
        <v>0.35</v>
      </c>
      <c r="V17" s="598">
        <v>16</v>
      </c>
      <c r="W17" s="596" t="str">
        <f t="shared" si="11"/>
        <v>Sa</v>
      </c>
      <c r="X17" s="597">
        <f t="shared" si="12"/>
        <v>0</v>
      </c>
      <c r="Y17" s="598">
        <v>16</v>
      </c>
      <c r="Z17" s="596" t="str">
        <f t="shared" si="13"/>
        <v>Di</v>
      </c>
      <c r="AA17" s="597">
        <f t="shared" si="14"/>
        <v>0.35</v>
      </c>
      <c r="AB17" s="598">
        <v>16</v>
      </c>
      <c r="AC17" s="596" t="str">
        <f t="shared" si="15"/>
        <v>Do</v>
      </c>
      <c r="AD17" s="597">
        <f t="shared" si="16"/>
        <v>0.35</v>
      </c>
      <c r="AE17" s="598">
        <v>16</v>
      </c>
      <c r="AF17" s="596" t="str">
        <f t="shared" si="17"/>
        <v>So</v>
      </c>
      <c r="AG17" s="597">
        <f t="shared" si="18"/>
        <v>0</v>
      </c>
      <c r="AH17" s="598">
        <v>16</v>
      </c>
      <c r="AI17" s="596" t="str">
        <f t="shared" si="19"/>
        <v>Di</v>
      </c>
      <c r="AJ17" s="597">
        <f t="shared" si="20"/>
        <v>0.35</v>
      </c>
      <c r="AK17" s="599"/>
    </row>
    <row r="18" spans="1:37" ht="12" customHeight="1" x14ac:dyDescent="0.2">
      <c r="A18" s="595">
        <v>17</v>
      </c>
      <c r="B18" s="596" t="str">
        <f t="shared" si="21"/>
        <v>Do</v>
      </c>
      <c r="C18" s="597">
        <f t="shared" si="24"/>
        <v>0.35</v>
      </c>
      <c r="D18" s="598">
        <v>17</v>
      </c>
      <c r="E18" s="596" t="str">
        <f t="shared" si="23"/>
        <v>So</v>
      </c>
      <c r="F18" s="597">
        <f t="shared" si="0"/>
        <v>0</v>
      </c>
      <c r="G18" s="598">
        <v>17</v>
      </c>
      <c r="H18" s="596" t="str">
        <f t="shared" si="1"/>
        <v>Mo</v>
      </c>
      <c r="I18" s="597">
        <f t="shared" si="2"/>
        <v>0.35</v>
      </c>
      <c r="J18" s="598">
        <v>17</v>
      </c>
      <c r="K18" s="596" t="str">
        <f t="shared" si="3"/>
        <v>Do</v>
      </c>
      <c r="L18" s="597">
        <f t="shared" si="4"/>
        <v>0.35</v>
      </c>
      <c r="M18" s="598">
        <v>17</v>
      </c>
      <c r="N18" s="596" t="str">
        <f t="shared" si="5"/>
        <v>Sa</v>
      </c>
      <c r="O18" s="597">
        <f t="shared" si="6"/>
        <v>0</v>
      </c>
      <c r="P18" s="598">
        <v>17</v>
      </c>
      <c r="Q18" s="596" t="str">
        <f t="shared" si="7"/>
        <v>Di</v>
      </c>
      <c r="R18" s="597">
        <f t="shared" si="8"/>
        <v>0.35</v>
      </c>
      <c r="S18" s="598">
        <v>17</v>
      </c>
      <c r="T18" s="596" t="str">
        <f t="shared" si="9"/>
        <v>Do</v>
      </c>
      <c r="U18" s="597">
        <f t="shared" si="10"/>
        <v>0.35</v>
      </c>
      <c r="V18" s="598">
        <v>17</v>
      </c>
      <c r="W18" s="596" t="str">
        <f t="shared" si="11"/>
        <v>So</v>
      </c>
      <c r="X18" s="597">
        <f t="shared" si="12"/>
        <v>0</v>
      </c>
      <c r="Y18" s="598">
        <v>17</v>
      </c>
      <c r="Z18" s="596" t="str">
        <f t="shared" si="13"/>
        <v>Mi</v>
      </c>
      <c r="AA18" s="597">
        <f t="shared" si="14"/>
        <v>0.35</v>
      </c>
      <c r="AB18" s="598">
        <v>17</v>
      </c>
      <c r="AC18" s="596" t="str">
        <f t="shared" si="15"/>
        <v>Fr</v>
      </c>
      <c r="AD18" s="597">
        <f t="shared" si="16"/>
        <v>0.35</v>
      </c>
      <c r="AE18" s="598">
        <v>17</v>
      </c>
      <c r="AF18" s="596" t="str">
        <f t="shared" si="17"/>
        <v>Mo</v>
      </c>
      <c r="AG18" s="597">
        <f t="shared" si="18"/>
        <v>0.35</v>
      </c>
      <c r="AH18" s="598">
        <v>17</v>
      </c>
      <c r="AI18" s="596" t="str">
        <f t="shared" si="19"/>
        <v>Mi</v>
      </c>
      <c r="AJ18" s="597">
        <f t="shared" si="20"/>
        <v>0.35</v>
      </c>
      <c r="AK18" s="599"/>
    </row>
    <row r="19" spans="1:37" ht="12" customHeight="1" x14ac:dyDescent="0.2">
      <c r="A19" s="595">
        <v>18</v>
      </c>
      <c r="B19" s="596" t="str">
        <f t="shared" si="21"/>
        <v>Fr</v>
      </c>
      <c r="C19" s="597">
        <f t="shared" si="24"/>
        <v>0.35</v>
      </c>
      <c r="D19" s="598">
        <v>18</v>
      </c>
      <c r="E19" s="596" t="str">
        <f t="shared" si="23"/>
        <v>Mo</v>
      </c>
      <c r="F19" s="597">
        <f t="shared" si="0"/>
        <v>0.35</v>
      </c>
      <c r="G19" s="598">
        <v>18</v>
      </c>
      <c r="H19" s="596" t="str">
        <f t="shared" si="1"/>
        <v>Di</v>
      </c>
      <c r="I19" s="597">
        <f t="shared" si="2"/>
        <v>0.35</v>
      </c>
      <c r="J19" s="598">
        <v>18</v>
      </c>
      <c r="K19" s="596" t="str">
        <f t="shared" si="3"/>
        <v>Fr</v>
      </c>
      <c r="L19" s="597">
        <f t="shared" si="4"/>
        <v>0.35</v>
      </c>
      <c r="M19" s="598">
        <v>18</v>
      </c>
      <c r="N19" s="596" t="str">
        <f>IF(ISERROR(VLOOKUP(DATE($AK$1,O$1,M19),Feste,1,FALSE)),VLOOKUP(WEEKDAY(DATE($AK$1,O$1,M19)),Tage,2),VLOOKUP(DATE($AK$1,O$1,M19),Feste,8,FALSE))</f>
        <v>So</v>
      </c>
      <c r="O19" s="597">
        <f>IF(ISERROR(VLOOKUP(DATE($AK$1,O$1,M19),Feste,1,FALSE)),VLOOKUP(N19,Arbeitstage,2),VLOOKUP(DATE($AK$1,O$1,M19),Feste,6,FALSE))</f>
        <v>0</v>
      </c>
      <c r="P19" s="598">
        <v>18</v>
      </c>
      <c r="Q19" s="596" t="str">
        <f t="shared" si="7"/>
        <v>Mi</v>
      </c>
      <c r="R19" s="597">
        <f t="shared" si="8"/>
        <v>0.35</v>
      </c>
      <c r="S19" s="598">
        <v>18</v>
      </c>
      <c r="T19" s="596" t="str">
        <f t="shared" si="9"/>
        <v>Fr</v>
      </c>
      <c r="U19" s="597">
        <f t="shared" si="10"/>
        <v>0.35</v>
      </c>
      <c r="V19" s="598">
        <v>18</v>
      </c>
      <c r="W19" s="596" t="str">
        <f t="shared" si="11"/>
        <v>Mo</v>
      </c>
      <c r="X19" s="597">
        <f t="shared" si="12"/>
        <v>0.35</v>
      </c>
      <c r="Y19" s="598">
        <v>18</v>
      </c>
      <c r="Z19" s="596" t="str">
        <f t="shared" si="13"/>
        <v>Do</v>
      </c>
      <c r="AA19" s="597">
        <f t="shared" si="14"/>
        <v>0.35</v>
      </c>
      <c r="AB19" s="598">
        <v>18</v>
      </c>
      <c r="AC19" s="596" t="str">
        <f t="shared" si="15"/>
        <v>Sa</v>
      </c>
      <c r="AD19" s="597">
        <f t="shared" si="16"/>
        <v>0</v>
      </c>
      <c r="AE19" s="598">
        <v>18</v>
      </c>
      <c r="AF19" s="596" t="str">
        <f t="shared" si="17"/>
        <v>Di</v>
      </c>
      <c r="AG19" s="597">
        <f t="shared" si="18"/>
        <v>0.35</v>
      </c>
      <c r="AH19" s="598">
        <v>18</v>
      </c>
      <c r="AI19" s="596" t="str">
        <f t="shared" si="19"/>
        <v>Do</v>
      </c>
      <c r="AJ19" s="597">
        <f t="shared" si="20"/>
        <v>0.35</v>
      </c>
      <c r="AK19" s="599"/>
    </row>
    <row r="20" spans="1:37" ht="12" customHeight="1" x14ac:dyDescent="0.2">
      <c r="A20" s="595">
        <v>19</v>
      </c>
      <c r="B20" s="596" t="str">
        <f t="shared" si="21"/>
        <v>Sa</v>
      </c>
      <c r="C20" s="597">
        <f t="shared" si="24"/>
        <v>0</v>
      </c>
      <c r="D20" s="598">
        <v>19</v>
      </c>
      <c r="E20" s="596" t="str">
        <f t="shared" si="23"/>
        <v>Di</v>
      </c>
      <c r="F20" s="597">
        <f t="shared" si="0"/>
        <v>0.35</v>
      </c>
      <c r="G20" s="598">
        <v>19</v>
      </c>
      <c r="H20" s="596" t="str">
        <f t="shared" si="1"/>
        <v>Mi</v>
      </c>
      <c r="I20" s="597">
        <f t="shared" si="2"/>
        <v>0.35</v>
      </c>
      <c r="J20" s="598">
        <v>19</v>
      </c>
      <c r="K20" s="596" t="str">
        <f t="shared" si="3"/>
        <v>Sa</v>
      </c>
      <c r="L20" s="597">
        <f t="shared" si="4"/>
        <v>0</v>
      </c>
      <c r="M20" s="598">
        <v>19</v>
      </c>
      <c r="N20" s="596" t="str">
        <f t="shared" si="5"/>
        <v>Mo</v>
      </c>
      <c r="O20" s="597">
        <f t="shared" si="6"/>
        <v>0.35</v>
      </c>
      <c r="P20" s="598">
        <v>19</v>
      </c>
      <c r="Q20" s="596" t="str">
        <f t="shared" si="7"/>
        <v>Do</v>
      </c>
      <c r="R20" s="597">
        <f t="shared" si="8"/>
        <v>0.35</v>
      </c>
      <c r="S20" s="598">
        <v>19</v>
      </c>
      <c r="T20" s="596" t="str">
        <f t="shared" si="9"/>
        <v>Sa</v>
      </c>
      <c r="U20" s="597">
        <f t="shared" si="10"/>
        <v>0</v>
      </c>
      <c r="V20" s="598">
        <v>19</v>
      </c>
      <c r="W20" s="596" t="str">
        <f t="shared" si="11"/>
        <v>Di</v>
      </c>
      <c r="X20" s="597">
        <f t="shared" si="12"/>
        <v>0.35</v>
      </c>
      <c r="Y20" s="598">
        <v>19</v>
      </c>
      <c r="Z20" s="596" t="str">
        <f t="shared" si="13"/>
        <v>Fr</v>
      </c>
      <c r="AA20" s="597">
        <f t="shared" si="14"/>
        <v>0.35</v>
      </c>
      <c r="AB20" s="598">
        <v>19</v>
      </c>
      <c r="AC20" s="596" t="str">
        <f t="shared" si="15"/>
        <v>So</v>
      </c>
      <c r="AD20" s="597">
        <f t="shared" si="16"/>
        <v>0</v>
      </c>
      <c r="AE20" s="598">
        <v>19</v>
      </c>
      <c r="AF20" s="596" t="str">
        <f t="shared" si="17"/>
        <v>Mi</v>
      </c>
      <c r="AG20" s="597">
        <f t="shared" si="18"/>
        <v>0.35</v>
      </c>
      <c r="AH20" s="598">
        <v>19</v>
      </c>
      <c r="AI20" s="596" t="str">
        <f t="shared" si="19"/>
        <v>Fr</v>
      </c>
      <c r="AJ20" s="597">
        <f t="shared" si="20"/>
        <v>0.35</v>
      </c>
      <c r="AK20" s="599"/>
    </row>
    <row r="21" spans="1:37" ht="12" customHeight="1" x14ac:dyDescent="0.2">
      <c r="A21" s="595">
        <v>20</v>
      </c>
      <c r="B21" s="596" t="str">
        <f t="shared" si="21"/>
        <v>So</v>
      </c>
      <c r="C21" s="597">
        <f t="shared" si="24"/>
        <v>0</v>
      </c>
      <c r="D21" s="598">
        <v>20</v>
      </c>
      <c r="E21" s="596" t="str">
        <f t="shared" si="23"/>
        <v>Mi</v>
      </c>
      <c r="F21" s="597">
        <f t="shared" si="0"/>
        <v>0.35</v>
      </c>
      <c r="G21" s="598">
        <v>20</v>
      </c>
      <c r="H21" s="596" t="str">
        <f t="shared" si="1"/>
        <v>Gründonnerstag</v>
      </c>
      <c r="I21" s="597">
        <f t="shared" si="2"/>
        <v>0.25</v>
      </c>
      <c r="J21" s="598">
        <v>20</v>
      </c>
      <c r="K21" s="596" t="str">
        <f t="shared" si="3"/>
        <v>So</v>
      </c>
      <c r="L21" s="597">
        <f t="shared" si="4"/>
        <v>0</v>
      </c>
      <c r="M21" s="598">
        <v>20</v>
      </c>
      <c r="N21" s="596" t="str">
        <f t="shared" si="5"/>
        <v>Di</v>
      </c>
      <c r="O21" s="597">
        <f t="shared" si="6"/>
        <v>0.35</v>
      </c>
      <c r="P21" s="598">
        <v>20</v>
      </c>
      <c r="Q21" s="596" t="str">
        <f t="shared" si="7"/>
        <v>Fr</v>
      </c>
      <c r="R21" s="597">
        <f t="shared" si="8"/>
        <v>0.35</v>
      </c>
      <c r="S21" s="598">
        <v>20</v>
      </c>
      <c r="T21" s="596" t="str">
        <f t="shared" si="9"/>
        <v>So</v>
      </c>
      <c r="U21" s="597">
        <f t="shared" si="10"/>
        <v>0</v>
      </c>
      <c r="V21" s="598">
        <v>20</v>
      </c>
      <c r="W21" s="596" t="str">
        <f t="shared" si="11"/>
        <v>Mi</v>
      </c>
      <c r="X21" s="597">
        <f t="shared" si="12"/>
        <v>0.35</v>
      </c>
      <c r="Y21" s="598">
        <v>20</v>
      </c>
      <c r="Z21" s="596" t="str">
        <f t="shared" si="13"/>
        <v>Sa</v>
      </c>
      <c r="AA21" s="597">
        <f t="shared" si="14"/>
        <v>0</v>
      </c>
      <c r="AB21" s="598">
        <v>20</v>
      </c>
      <c r="AC21" s="596" t="str">
        <f t="shared" si="15"/>
        <v>Mo</v>
      </c>
      <c r="AD21" s="597">
        <f t="shared" si="16"/>
        <v>0.35</v>
      </c>
      <c r="AE21" s="598">
        <v>20</v>
      </c>
      <c r="AF21" s="596" t="str">
        <f t="shared" si="17"/>
        <v>Do</v>
      </c>
      <c r="AG21" s="597">
        <f t="shared" si="18"/>
        <v>0.35</v>
      </c>
      <c r="AH21" s="598">
        <v>20</v>
      </c>
      <c r="AI21" s="596" t="str">
        <f t="shared" si="19"/>
        <v>Sa</v>
      </c>
      <c r="AJ21" s="597">
        <f t="shared" si="20"/>
        <v>0</v>
      </c>
      <c r="AK21" s="599"/>
    </row>
    <row r="22" spans="1:37" ht="12" customHeight="1" x14ac:dyDescent="0.2">
      <c r="A22" s="595">
        <v>21</v>
      </c>
      <c r="B22" s="596" t="str">
        <f t="shared" si="21"/>
        <v>Mo</v>
      </c>
      <c r="C22" s="597">
        <f t="shared" si="24"/>
        <v>0.35</v>
      </c>
      <c r="D22" s="598">
        <v>21</v>
      </c>
      <c r="E22" s="596" t="str">
        <f t="shared" si="23"/>
        <v>Do</v>
      </c>
      <c r="F22" s="597">
        <f t="shared" si="0"/>
        <v>0.35</v>
      </c>
      <c r="G22" s="598">
        <v>21</v>
      </c>
      <c r="H22" s="596" t="str">
        <f t="shared" si="1"/>
        <v>Karfreitag</v>
      </c>
      <c r="I22" s="597">
        <f t="shared" si="2"/>
        <v>0</v>
      </c>
      <c r="J22" s="598">
        <v>21</v>
      </c>
      <c r="K22" s="596" t="str">
        <f t="shared" si="3"/>
        <v>Mo</v>
      </c>
      <c r="L22" s="597">
        <f t="shared" si="4"/>
        <v>0.35</v>
      </c>
      <c r="M22" s="598">
        <v>21</v>
      </c>
      <c r="N22" s="596" t="str">
        <f t="shared" si="5"/>
        <v>Mi</v>
      </c>
      <c r="O22" s="597">
        <f t="shared" si="6"/>
        <v>0.35</v>
      </c>
      <c r="P22" s="598">
        <v>21</v>
      </c>
      <c r="Q22" s="596" t="str">
        <f t="shared" si="7"/>
        <v>Sa</v>
      </c>
      <c r="R22" s="597">
        <f t="shared" si="8"/>
        <v>0</v>
      </c>
      <c r="S22" s="598">
        <v>21</v>
      </c>
      <c r="T22" s="596" t="str">
        <f t="shared" si="9"/>
        <v>Mo</v>
      </c>
      <c r="U22" s="597">
        <f t="shared" si="10"/>
        <v>0.35</v>
      </c>
      <c r="V22" s="598">
        <v>21</v>
      </c>
      <c r="W22" s="596" t="str">
        <f t="shared" si="11"/>
        <v>Do</v>
      </c>
      <c r="X22" s="597">
        <f t="shared" si="12"/>
        <v>0.35</v>
      </c>
      <c r="Y22" s="598">
        <v>21</v>
      </c>
      <c r="Z22" s="596" t="str">
        <f t="shared" si="13"/>
        <v>So</v>
      </c>
      <c r="AA22" s="597">
        <f t="shared" si="14"/>
        <v>0</v>
      </c>
      <c r="AB22" s="598">
        <v>21</v>
      </c>
      <c r="AC22" s="596" t="str">
        <f t="shared" si="15"/>
        <v>Di</v>
      </c>
      <c r="AD22" s="597">
        <f t="shared" si="16"/>
        <v>0.35</v>
      </c>
      <c r="AE22" s="598">
        <v>21</v>
      </c>
      <c r="AF22" s="596" t="str">
        <f t="shared" si="17"/>
        <v>Fr</v>
      </c>
      <c r="AG22" s="597">
        <f t="shared" si="18"/>
        <v>0.35</v>
      </c>
      <c r="AH22" s="598">
        <v>21</v>
      </c>
      <c r="AI22" s="596" t="str">
        <f t="shared" si="19"/>
        <v>So</v>
      </c>
      <c r="AJ22" s="597">
        <f t="shared" si="20"/>
        <v>0</v>
      </c>
      <c r="AK22" s="599"/>
    </row>
    <row r="23" spans="1:37" ht="12" customHeight="1" x14ac:dyDescent="0.2">
      <c r="A23" s="595">
        <v>22</v>
      </c>
      <c r="B23" s="596" t="str">
        <f t="shared" si="21"/>
        <v>Di</v>
      </c>
      <c r="C23" s="597">
        <f t="shared" si="24"/>
        <v>0.35</v>
      </c>
      <c r="D23" s="598">
        <v>22</v>
      </c>
      <c r="E23" s="596" t="str">
        <f t="shared" si="23"/>
        <v>Fr</v>
      </c>
      <c r="F23" s="597">
        <f t="shared" si="0"/>
        <v>0.35</v>
      </c>
      <c r="G23" s="598">
        <v>22</v>
      </c>
      <c r="H23" s="596" t="str">
        <f t="shared" si="1"/>
        <v>Sa</v>
      </c>
      <c r="I23" s="597">
        <f t="shared" si="2"/>
        <v>0</v>
      </c>
      <c r="J23" s="598">
        <v>22</v>
      </c>
      <c r="K23" s="596" t="str">
        <f t="shared" si="3"/>
        <v>Di</v>
      </c>
      <c r="L23" s="597">
        <f t="shared" si="4"/>
        <v>0.35</v>
      </c>
      <c r="M23" s="598">
        <v>22</v>
      </c>
      <c r="N23" s="596" t="str">
        <f t="shared" si="5"/>
        <v>Do</v>
      </c>
      <c r="O23" s="597">
        <f t="shared" si="6"/>
        <v>0.35</v>
      </c>
      <c r="P23" s="598">
        <v>22</v>
      </c>
      <c r="Q23" s="596" t="str">
        <f t="shared" si="7"/>
        <v>So</v>
      </c>
      <c r="R23" s="597">
        <f t="shared" si="8"/>
        <v>0</v>
      </c>
      <c r="S23" s="598">
        <v>22</v>
      </c>
      <c r="T23" s="596" t="str">
        <f t="shared" si="9"/>
        <v>Di</v>
      </c>
      <c r="U23" s="597">
        <f t="shared" si="10"/>
        <v>0.35</v>
      </c>
      <c r="V23" s="598">
        <v>22</v>
      </c>
      <c r="W23" s="596" t="str">
        <f t="shared" si="11"/>
        <v>Fr</v>
      </c>
      <c r="X23" s="597">
        <f t="shared" si="12"/>
        <v>0.35</v>
      </c>
      <c r="Y23" s="598">
        <v>22</v>
      </c>
      <c r="Z23" s="596" t="str">
        <f t="shared" si="13"/>
        <v>Mo</v>
      </c>
      <c r="AA23" s="597">
        <f t="shared" si="14"/>
        <v>0.35</v>
      </c>
      <c r="AB23" s="598">
        <v>22</v>
      </c>
      <c r="AC23" s="596" t="str">
        <f t="shared" si="15"/>
        <v>Mi</v>
      </c>
      <c r="AD23" s="597">
        <f t="shared" si="16"/>
        <v>0.35</v>
      </c>
      <c r="AE23" s="598">
        <v>22</v>
      </c>
      <c r="AF23" s="596" t="str">
        <f t="shared" si="17"/>
        <v>Sa</v>
      </c>
      <c r="AG23" s="597">
        <f t="shared" si="18"/>
        <v>0</v>
      </c>
      <c r="AH23" s="598">
        <v>22</v>
      </c>
      <c r="AI23" s="596" t="str">
        <f t="shared" si="19"/>
        <v>Mo</v>
      </c>
      <c r="AJ23" s="597">
        <f t="shared" si="20"/>
        <v>0.35</v>
      </c>
      <c r="AK23" s="599"/>
    </row>
    <row r="24" spans="1:37" ht="12" customHeight="1" x14ac:dyDescent="0.2">
      <c r="A24" s="595">
        <v>23</v>
      </c>
      <c r="B24" s="596" t="str">
        <f t="shared" si="21"/>
        <v>Mi</v>
      </c>
      <c r="C24" s="597">
        <f t="shared" si="24"/>
        <v>0.35</v>
      </c>
      <c r="D24" s="598">
        <v>23</v>
      </c>
      <c r="E24" s="596" t="str">
        <f t="shared" si="23"/>
        <v>Sa</v>
      </c>
      <c r="F24" s="597">
        <f t="shared" si="0"/>
        <v>0</v>
      </c>
      <c r="G24" s="598">
        <v>23</v>
      </c>
      <c r="H24" s="596" t="str">
        <f t="shared" si="1"/>
        <v>Ostern</v>
      </c>
      <c r="I24" s="597" t="str">
        <f t="shared" si="2"/>
        <v/>
      </c>
      <c r="J24" s="598">
        <v>23</v>
      </c>
      <c r="K24" s="596" t="str">
        <f t="shared" si="3"/>
        <v>Mi</v>
      </c>
      <c r="L24" s="597">
        <f t="shared" si="4"/>
        <v>0.35</v>
      </c>
      <c r="M24" s="598">
        <v>23</v>
      </c>
      <c r="N24" s="596" t="str">
        <f t="shared" si="5"/>
        <v>Fr</v>
      </c>
      <c r="O24" s="597">
        <f t="shared" si="6"/>
        <v>0.35</v>
      </c>
      <c r="P24" s="598">
        <v>23</v>
      </c>
      <c r="Q24" s="596" t="str">
        <f t="shared" si="7"/>
        <v>Mo</v>
      </c>
      <c r="R24" s="597">
        <f t="shared" si="8"/>
        <v>0.35</v>
      </c>
      <c r="S24" s="598">
        <v>23</v>
      </c>
      <c r="T24" s="596" t="str">
        <f t="shared" si="9"/>
        <v>Mi</v>
      </c>
      <c r="U24" s="597">
        <f t="shared" si="10"/>
        <v>0.35</v>
      </c>
      <c r="V24" s="598">
        <v>23</v>
      </c>
      <c r="W24" s="596" t="str">
        <f t="shared" si="11"/>
        <v>Sa</v>
      </c>
      <c r="X24" s="597">
        <f t="shared" si="12"/>
        <v>0</v>
      </c>
      <c r="Y24" s="598">
        <v>23</v>
      </c>
      <c r="Z24" s="596" t="str">
        <f t="shared" si="13"/>
        <v>Di</v>
      </c>
      <c r="AA24" s="597">
        <f t="shared" si="14"/>
        <v>0.35</v>
      </c>
      <c r="AB24" s="598">
        <v>23</v>
      </c>
      <c r="AC24" s="596" t="str">
        <f t="shared" si="15"/>
        <v>Do</v>
      </c>
      <c r="AD24" s="597">
        <f t="shared" si="16"/>
        <v>0.35</v>
      </c>
      <c r="AE24" s="598">
        <v>23</v>
      </c>
      <c r="AF24" s="596" t="str">
        <f t="shared" si="17"/>
        <v>So</v>
      </c>
      <c r="AG24" s="597">
        <f t="shared" si="18"/>
        <v>0</v>
      </c>
      <c r="AH24" s="598">
        <v>23</v>
      </c>
      <c r="AI24" s="596" t="str">
        <f t="shared" si="19"/>
        <v>Di</v>
      </c>
      <c r="AJ24" s="597">
        <f t="shared" si="20"/>
        <v>0.35</v>
      </c>
      <c r="AK24" s="599"/>
    </row>
    <row r="25" spans="1:37" ht="12" customHeight="1" x14ac:dyDescent="0.2">
      <c r="A25" s="595">
        <v>24</v>
      </c>
      <c r="B25" s="596" t="str">
        <f t="shared" si="21"/>
        <v>Do</v>
      </c>
      <c r="C25" s="597">
        <f t="shared" si="24"/>
        <v>0.35</v>
      </c>
      <c r="D25" s="598">
        <v>24</v>
      </c>
      <c r="E25" s="596" t="str">
        <f t="shared" si="23"/>
        <v>So</v>
      </c>
      <c r="F25" s="597">
        <f t="shared" si="0"/>
        <v>0</v>
      </c>
      <c r="G25" s="598">
        <v>24</v>
      </c>
      <c r="H25" s="596" t="str">
        <f t="shared" si="1"/>
        <v>Ostermontag</v>
      </c>
      <c r="I25" s="597">
        <f t="shared" si="2"/>
        <v>0</v>
      </c>
      <c r="J25" s="598">
        <v>24</v>
      </c>
      <c r="K25" s="596" t="s">
        <v>456</v>
      </c>
      <c r="L25" s="597">
        <v>0.35</v>
      </c>
      <c r="M25" s="598">
        <v>24</v>
      </c>
      <c r="N25" s="596" t="str">
        <f t="shared" si="5"/>
        <v>Sa</v>
      </c>
      <c r="O25" s="597">
        <f t="shared" si="6"/>
        <v>0</v>
      </c>
      <c r="P25" s="598">
        <v>24</v>
      </c>
      <c r="Q25" s="596" t="str">
        <f t="shared" si="7"/>
        <v>Di</v>
      </c>
      <c r="R25" s="597">
        <f t="shared" si="8"/>
        <v>0.35</v>
      </c>
      <c r="S25" s="598">
        <v>24</v>
      </c>
      <c r="T25" s="596" t="str">
        <f t="shared" si="9"/>
        <v>Do</v>
      </c>
      <c r="U25" s="597">
        <f t="shared" si="10"/>
        <v>0.35</v>
      </c>
      <c r="V25" s="598">
        <v>24</v>
      </c>
      <c r="W25" s="596" t="str">
        <f t="shared" si="11"/>
        <v>So</v>
      </c>
      <c r="X25" s="597">
        <f t="shared" si="12"/>
        <v>0</v>
      </c>
      <c r="Y25" s="598">
        <v>24</v>
      </c>
      <c r="Z25" s="596" t="str">
        <f t="shared" si="13"/>
        <v>Mi</v>
      </c>
      <c r="AA25" s="597">
        <f t="shared" si="14"/>
        <v>0.35</v>
      </c>
      <c r="AB25" s="598">
        <v>24</v>
      </c>
      <c r="AC25" s="596" t="str">
        <f t="shared" si="15"/>
        <v>Fr</v>
      </c>
      <c r="AD25" s="597">
        <f t="shared" si="16"/>
        <v>0.35</v>
      </c>
      <c r="AE25" s="598">
        <v>24</v>
      </c>
      <c r="AF25" s="596" t="str">
        <f t="shared" si="17"/>
        <v>Mo</v>
      </c>
      <c r="AG25" s="597">
        <f t="shared" si="18"/>
        <v>0.35</v>
      </c>
      <c r="AH25" s="598">
        <v>24</v>
      </c>
      <c r="AI25" s="596" t="str">
        <f t="shared" si="19"/>
        <v>Heiligabend</v>
      </c>
      <c r="AJ25" s="597">
        <v>0.17499999999999999</v>
      </c>
      <c r="AK25" s="599"/>
    </row>
    <row r="26" spans="1:37" ht="12" customHeight="1" x14ac:dyDescent="0.2">
      <c r="A26" s="595">
        <v>25</v>
      </c>
      <c r="B26" s="596" t="str">
        <f t="shared" si="21"/>
        <v>Fr</v>
      </c>
      <c r="C26" s="597">
        <f t="shared" si="24"/>
        <v>0.35</v>
      </c>
      <c r="D26" s="598">
        <v>25</v>
      </c>
      <c r="E26" s="596" t="str">
        <f t="shared" si="23"/>
        <v>Mo</v>
      </c>
      <c r="F26" s="597">
        <f t="shared" si="0"/>
        <v>0.35</v>
      </c>
      <c r="G26" s="598">
        <v>25</v>
      </c>
      <c r="H26" s="596" t="str">
        <f t="shared" si="1"/>
        <v>Di</v>
      </c>
      <c r="I26" s="597">
        <f t="shared" si="2"/>
        <v>0.35</v>
      </c>
      <c r="J26" s="598">
        <v>25</v>
      </c>
      <c r="K26" s="596" t="str">
        <f t="shared" si="3"/>
        <v>Fr</v>
      </c>
      <c r="L26" s="597">
        <f t="shared" si="4"/>
        <v>0.35</v>
      </c>
      <c r="M26" s="598">
        <v>25</v>
      </c>
      <c r="N26" s="596" t="str">
        <f t="shared" si="5"/>
        <v>So</v>
      </c>
      <c r="O26" s="597">
        <f t="shared" si="6"/>
        <v>0</v>
      </c>
      <c r="P26" s="598">
        <v>25</v>
      </c>
      <c r="Q26" s="596" t="str">
        <f t="shared" si="7"/>
        <v>Mi</v>
      </c>
      <c r="R26" s="597">
        <f t="shared" si="8"/>
        <v>0.35</v>
      </c>
      <c r="S26" s="598">
        <v>25</v>
      </c>
      <c r="T26" s="596" t="str">
        <f t="shared" si="9"/>
        <v>Fr</v>
      </c>
      <c r="U26" s="597">
        <f t="shared" si="10"/>
        <v>0.35</v>
      </c>
      <c r="V26" s="598">
        <v>25</v>
      </c>
      <c r="W26" s="596" t="str">
        <f t="shared" si="11"/>
        <v>Mo</v>
      </c>
      <c r="X26" s="597">
        <f t="shared" si="12"/>
        <v>0.35</v>
      </c>
      <c r="Y26" s="598">
        <v>25</v>
      </c>
      <c r="Z26" s="596" t="str">
        <f t="shared" si="13"/>
        <v>Do</v>
      </c>
      <c r="AA26" s="597">
        <f t="shared" si="14"/>
        <v>0.35</v>
      </c>
      <c r="AB26" s="598">
        <v>25</v>
      </c>
      <c r="AC26" s="596" t="str">
        <f t="shared" si="15"/>
        <v>Sa</v>
      </c>
      <c r="AD26" s="597">
        <f t="shared" si="16"/>
        <v>0</v>
      </c>
      <c r="AE26" s="598">
        <v>25</v>
      </c>
      <c r="AF26" s="596" t="str">
        <f t="shared" si="17"/>
        <v>Di</v>
      </c>
      <c r="AG26" s="597">
        <f t="shared" si="18"/>
        <v>0.35</v>
      </c>
      <c r="AH26" s="598">
        <v>25</v>
      </c>
      <c r="AI26" s="596" t="str">
        <f t="shared" si="19"/>
        <v>Weihnacht</v>
      </c>
      <c r="AJ26" s="597">
        <f t="shared" si="20"/>
        <v>0</v>
      </c>
      <c r="AK26" s="599"/>
    </row>
    <row r="27" spans="1:37" ht="12" customHeight="1" x14ac:dyDescent="0.2">
      <c r="A27" s="595">
        <v>26</v>
      </c>
      <c r="B27" s="596" t="str">
        <f t="shared" si="21"/>
        <v>Sa</v>
      </c>
      <c r="C27" s="597">
        <f t="shared" si="24"/>
        <v>0</v>
      </c>
      <c r="D27" s="598">
        <v>26</v>
      </c>
      <c r="E27" s="596" t="str">
        <f t="shared" si="23"/>
        <v>Di</v>
      </c>
      <c r="F27" s="597">
        <f t="shared" si="0"/>
        <v>0.35</v>
      </c>
      <c r="G27" s="598">
        <v>26</v>
      </c>
      <c r="H27" s="596" t="str">
        <f t="shared" si="1"/>
        <v>Mi</v>
      </c>
      <c r="I27" s="597">
        <f t="shared" si="2"/>
        <v>0.35</v>
      </c>
      <c r="J27" s="598">
        <v>26</v>
      </c>
      <c r="K27" s="596" t="str">
        <f t="shared" si="3"/>
        <v>Sa</v>
      </c>
      <c r="L27" s="597">
        <f t="shared" si="4"/>
        <v>0</v>
      </c>
      <c r="M27" s="598">
        <v>26</v>
      </c>
      <c r="N27" s="596" t="str">
        <f t="shared" si="5"/>
        <v>Mo</v>
      </c>
      <c r="O27" s="597">
        <f t="shared" si="6"/>
        <v>0.35</v>
      </c>
      <c r="P27" s="598">
        <v>26</v>
      </c>
      <c r="Q27" s="596" t="str">
        <f t="shared" si="7"/>
        <v>Do</v>
      </c>
      <c r="R27" s="597">
        <f t="shared" si="8"/>
        <v>0.35</v>
      </c>
      <c r="S27" s="598">
        <v>26</v>
      </c>
      <c r="T27" s="596" t="str">
        <f t="shared" si="9"/>
        <v>Sa</v>
      </c>
      <c r="U27" s="597">
        <f t="shared" si="10"/>
        <v>0</v>
      </c>
      <c r="V27" s="598">
        <v>26</v>
      </c>
      <c r="W27" s="596" t="str">
        <f t="shared" si="11"/>
        <v>Di</v>
      </c>
      <c r="X27" s="597">
        <f t="shared" si="12"/>
        <v>0.35</v>
      </c>
      <c r="Y27" s="598">
        <v>26</v>
      </c>
      <c r="Z27" s="596" t="str">
        <f t="shared" si="13"/>
        <v>Fr</v>
      </c>
      <c r="AA27" s="597">
        <f t="shared" si="14"/>
        <v>0.35</v>
      </c>
      <c r="AB27" s="598">
        <v>26</v>
      </c>
      <c r="AC27" s="596" t="str">
        <f t="shared" si="15"/>
        <v>So</v>
      </c>
      <c r="AD27" s="597">
        <f t="shared" si="16"/>
        <v>0</v>
      </c>
      <c r="AE27" s="598">
        <v>26</v>
      </c>
      <c r="AF27" s="596" t="str">
        <f t="shared" si="17"/>
        <v>Mi</v>
      </c>
      <c r="AG27" s="597">
        <f t="shared" si="18"/>
        <v>0.35</v>
      </c>
      <c r="AH27" s="598">
        <v>26</v>
      </c>
      <c r="AI27" s="596" t="str">
        <f t="shared" si="19"/>
        <v>Stefanstag</v>
      </c>
      <c r="AJ27" s="597">
        <v>0</v>
      </c>
      <c r="AK27" s="599"/>
    </row>
    <row r="28" spans="1:37" ht="12" customHeight="1" x14ac:dyDescent="0.2">
      <c r="A28" s="595">
        <v>27</v>
      </c>
      <c r="B28" s="596" t="str">
        <f t="shared" si="21"/>
        <v>So</v>
      </c>
      <c r="C28" s="597">
        <f t="shared" si="24"/>
        <v>0</v>
      </c>
      <c r="D28" s="598">
        <v>27</v>
      </c>
      <c r="E28" s="596" t="str">
        <f t="shared" si="23"/>
        <v>Mi</v>
      </c>
      <c r="F28" s="597">
        <f t="shared" si="0"/>
        <v>0.35</v>
      </c>
      <c r="G28" s="598">
        <v>27</v>
      </c>
      <c r="H28" s="596" t="str">
        <f t="shared" si="1"/>
        <v>Do</v>
      </c>
      <c r="I28" s="597">
        <f t="shared" si="2"/>
        <v>0.35</v>
      </c>
      <c r="J28" s="598">
        <v>27</v>
      </c>
      <c r="K28" s="596" t="str">
        <f t="shared" si="3"/>
        <v>So</v>
      </c>
      <c r="L28" s="597">
        <f t="shared" si="4"/>
        <v>0</v>
      </c>
      <c r="M28" s="598">
        <v>27</v>
      </c>
      <c r="N28" s="596" t="str">
        <f t="shared" si="5"/>
        <v>Di</v>
      </c>
      <c r="O28" s="597">
        <f t="shared" si="6"/>
        <v>0.35</v>
      </c>
      <c r="P28" s="598">
        <v>27</v>
      </c>
      <c r="Q28" s="596" t="str">
        <f t="shared" si="7"/>
        <v>Fr</v>
      </c>
      <c r="R28" s="597">
        <f t="shared" si="8"/>
        <v>0.35</v>
      </c>
      <c r="S28" s="598">
        <v>27</v>
      </c>
      <c r="T28" s="596" t="str">
        <f t="shared" si="9"/>
        <v>So</v>
      </c>
      <c r="U28" s="597">
        <f t="shared" si="10"/>
        <v>0</v>
      </c>
      <c r="V28" s="598">
        <v>27</v>
      </c>
      <c r="W28" s="596" t="str">
        <f t="shared" si="11"/>
        <v>Mi</v>
      </c>
      <c r="X28" s="597">
        <f t="shared" si="12"/>
        <v>0.35</v>
      </c>
      <c r="Y28" s="598">
        <v>27</v>
      </c>
      <c r="Z28" s="596" t="str">
        <f t="shared" si="13"/>
        <v>Sa</v>
      </c>
      <c r="AA28" s="597">
        <f t="shared" si="14"/>
        <v>0</v>
      </c>
      <c r="AB28" s="598">
        <v>27</v>
      </c>
      <c r="AC28" s="596" t="str">
        <f t="shared" si="15"/>
        <v>Mo</v>
      </c>
      <c r="AD28" s="597">
        <f t="shared" si="16"/>
        <v>0.35</v>
      </c>
      <c r="AE28" s="598">
        <v>27</v>
      </c>
      <c r="AF28" s="596" t="str">
        <f t="shared" si="17"/>
        <v>Do</v>
      </c>
      <c r="AG28" s="597">
        <f t="shared" si="18"/>
        <v>0.35</v>
      </c>
      <c r="AH28" s="598">
        <v>27</v>
      </c>
      <c r="AI28" s="596" t="str">
        <f t="shared" si="19"/>
        <v>Sa</v>
      </c>
      <c r="AJ28" s="597">
        <f t="shared" si="20"/>
        <v>0</v>
      </c>
      <c r="AK28" s="599"/>
    </row>
    <row r="29" spans="1:37" ht="12" customHeight="1" x14ac:dyDescent="0.2">
      <c r="A29" s="595">
        <v>28</v>
      </c>
      <c r="B29" s="596" t="str">
        <f t="shared" si="21"/>
        <v>Mo</v>
      </c>
      <c r="C29" s="597">
        <f t="shared" si="24"/>
        <v>0.35</v>
      </c>
      <c r="D29" s="598">
        <v>28</v>
      </c>
      <c r="E29" s="596" t="str">
        <f t="shared" si="23"/>
        <v>Do</v>
      </c>
      <c r="F29" s="597">
        <f t="shared" si="0"/>
        <v>0.35</v>
      </c>
      <c r="G29" s="598">
        <v>28</v>
      </c>
      <c r="H29" s="596" t="str">
        <f t="shared" si="1"/>
        <v>Fr</v>
      </c>
      <c r="I29" s="597">
        <f t="shared" si="2"/>
        <v>0.35</v>
      </c>
      <c r="J29" s="598">
        <v>28</v>
      </c>
      <c r="K29" s="596" t="str">
        <f t="shared" si="3"/>
        <v>Mo</v>
      </c>
      <c r="L29" s="597">
        <f t="shared" si="4"/>
        <v>0.35</v>
      </c>
      <c r="M29" s="598">
        <v>28</v>
      </c>
      <c r="N29" s="596" t="str">
        <f t="shared" si="5"/>
        <v>Mi</v>
      </c>
      <c r="O29" s="597">
        <f t="shared" si="6"/>
        <v>0.35</v>
      </c>
      <c r="P29" s="598">
        <v>28</v>
      </c>
      <c r="Q29" s="596" t="str">
        <f t="shared" si="7"/>
        <v>Sa</v>
      </c>
      <c r="R29" s="597">
        <f t="shared" si="8"/>
        <v>0</v>
      </c>
      <c r="S29" s="598">
        <v>28</v>
      </c>
      <c r="T29" s="596" t="str">
        <f t="shared" si="9"/>
        <v>Mo</v>
      </c>
      <c r="U29" s="597">
        <f t="shared" si="10"/>
        <v>0.35</v>
      </c>
      <c r="V29" s="598">
        <v>28</v>
      </c>
      <c r="W29" s="596" t="str">
        <f t="shared" si="11"/>
        <v>Do</v>
      </c>
      <c r="X29" s="597">
        <f t="shared" si="12"/>
        <v>0.35</v>
      </c>
      <c r="Y29" s="598">
        <v>28</v>
      </c>
      <c r="Z29" s="596" t="str">
        <f t="shared" si="13"/>
        <v>So</v>
      </c>
      <c r="AA29" s="597">
        <f t="shared" si="14"/>
        <v>0</v>
      </c>
      <c r="AB29" s="598">
        <v>28</v>
      </c>
      <c r="AC29" s="596" t="str">
        <f t="shared" si="15"/>
        <v>Di</v>
      </c>
      <c r="AD29" s="597">
        <f t="shared" si="16"/>
        <v>0.35</v>
      </c>
      <c r="AE29" s="598">
        <v>28</v>
      </c>
      <c r="AF29" s="596" t="str">
        <f t="shared" si="17"/>
        <v>Fr</v>
      </c>
      <c r="AG29" s="597">
        <f t="shared" si="18"/>
        <v>0.35</v>
      </c>
      <c r="AH29" s="598">
        <v>28</v>
      </c>
      <c r="AI29" s="596" t="str">
        <f t="shared" si="19"/>
        <v>So</v>
      </c>
      <c r="AJ29" s="597">
        <f t="shared" si="20"/>
        <v>0</v>
      </c>
      <c r="AK29" s="599"/>
    </row>
    <row r="30" spans="1:37" ht="12" customHeight="1" x14ac:dyDescent="0.2">
      <c r="A30" s="595">
        <v>29</v>
      </c>
      <c r="B30" s="596" t="str">
        <f t="shared" si="21"/>
        <v>Di</v>
      </c>
      <c r="C30" s="597">
        <f t="shared" si="24"/>
        <v>0.35</v>
      </c>
      <c r="D30" s="598">
        <v>29</v>
      </c>
      <c r="E30" s="600" t="str">
        <f>IF(ISERROR(VLOOKUP(WEEKDAY(DATE($AK$1,F$1,D30)),Tage,2)),"-",VLOOKUP(WEEKDAY(DATE($AK$1,F$1,D30)),Tage,2))</f>
        <v>Fr</v>
      </c>
      <c r="F30" s="601">
        <f>IF(ISERROR(VLOOKUP(E30,Arbeitstage,2)),0,VLOOKUP(E30,Arbeitstage,2))</f>
        <v>0.35</v>
      </c>
      <c r="G30" s="598">
        <v>29</v>
      </c>
      <c r="H30" s="596" t="str">
        <f t="shared" si="1"/>
        <v>Sa</v>
      </c>
      <c r="I30" s="597">
        <f t="shared" si="2"/>
        <v>0</v>
      </c>
      <c r="J30" s="598">
        <v>29</v>
      </c>
      <c r="K30" s="596" t="str">
        <f t="shared" si="3"/>
        <v>Di</v>
      </c>
      <c r="L30" s="597">
        <f t="shared" si="4"/>
        <v>0.35</v>
      </c>
      <c r="M30" s="598">
        <v>29</v>
      </c>
      <c r="N30" s="596" t="str">
        <f t="shared" si="5"/>
        <v>Do</v>
      </c>
      <c r="O30" s="597">
        <f t="shared" si="6"/>
        <v>0.35</v>
      </c>
      <c r="P30" s="598">
        <v>29</v>
      </c>
      <c r="Q30" s="596" t="str">
        <f t="shared" si="7"/>
        <v>So</v>
      </c>
      <c r="R30" s="597">
        <f t="shared" si="8"/>
        <v>0</v>
      </c>
      <c r="S30" s="598">
        <v>29</v>
      </c>
      <c r="T30" s="596" t="str">
        <f t="shared" si="9"/>
        <v>Di</v>
      </c>
      <c r="U30" s="597">
        <f t="shared" si="10"/>
        <v>0.35</v>
      </c>
      <c r="V30" s="598">
        <v>29</v>
      </c>
      <c r="W30" s="596" t="str">
        <f t="shared" si="11"/>
        <v>Fr</v>
      </c>
      <c r="X30" s="597">
        <f t="shared" si="12"/>
        <v>0.35</v>
      </c>
      <c r="Y30" s="598">
        <v>29</v>
      </c>
      <c r="Z30" s="596" t="str">
        <f t="shared" si="13"/>
        <v>Mo</v>
      </c>
      <c r="AA30" s="597">
        <f t="shared" si="14"/>
        <v>0.35</v>
      </c>
      <c r="AB30" s="598">
        <v>29</v>
      </c>
      <c r="AC30" s="596" t="str">
        <f t="shared" si="15"/>
        <v>Mi</v>
      </c>
      <c r="AD30" s="597">
        <f t="shared" si="16"/>
        <v>0.35</v>
      </c>
      <c r="AE30" s="598">
        <v>29</v>
      </c>
      <c r="AF30" s="596" t="str">
        <f t="shared" si="17"/>
        <v>Sa</v>
      </c>
      <c r="AG30" s="597">
        <f t="shared" si="18"/>
        <v>0</v>
      </c>
      <c r="AH30" s="598">
        <v>29</v>
      </c>
      <c r="AI30" s="596" t="str">
        <f t="shared" si="19"/>
        <v>Mo</v>
      </c>
      <c r="AJ30" s="597">
        <f t="shared" si="20"/>
        <v>0.35</v>
      </c>
      <c r="AK30" s="599"/>
    </row>
    <row r="31" spans="1:37" ht="12" customHeight="1" x14ac:dyDescent="0.2">
      <c r="A31" s="595">
        <v>30</v>
      </c>
      <c r="B31" s="596" t="str">
        <f t="shared" si="21"/>
        <v>Mi</v>
      </c>
      <c r="C31" s="597">
        <f t="shared" si="24"/>
        <v>0.35</v>
      </c>
      <c r="D31" s="598"/>
      <c r="E31" s="600"/>
      <c r="F31" s="601"/>
      <c r="G31" s="598">
        <v>30</v>
      </c>
      <c r="H31" s="596" t="str">
        <f t="shared" si="1"/>
        <v>So</v>
      </c>
      <c r="I31" s="597">
        <f t="shared" si="2"/>
        <v>0</v>
      </c>
      <c r="J31" s="598">
        <v>30</v>
      </c>
      <c r="K31" s="596" t="str">
        <f t="shared" si="3"/>
        <v>vor Auffahrt</v>
      </c>
      <c r="L31" s="597">
        <f t="shared" si="4"/>
        <v>0.25</v>
      </c>
      <c r="M31" s="598">
        <v>30</v>
      </c>
      <c r="N31" s="596" t="str">
        <f t="shared" si="5"/>
        <v>Fr</v>
      </c>
      <c r="O31" s="597">
        <f t="shared" si="6"/>
        <v>0.35</v>
      </c>
      <c r="P31" s="598">
        <v>30</v>
      </c>
      <c r="Q31" s="596" t="str">
        <f t="shared" si="7"/>
        <v>Mo</v>
      </c>
      <c r="R31" s="597">
        <f t="shared" si="8"/>
        <v>0.35</v>
      </c>
      <c r="S31" s="598">
        <v>30</v>
      </c>
      <c r="T31" s="596" t="str">
        <f t="shared" si="9"/>
        <v>Mi</v>
      </c>
      <c r="U31" s="597">
        <f t="shared" si="10"/>
        <v>0.35</v>
      </c>
      <c r="V31" s="598">
        <v>30</v>
      </c>
      <c r="W31" s="596" t="str">
        <f t="shared" si="11"/>
        <v>Sa</v>
      </c>
      <c r="X31" s="597">
        <f t="shared" si="12"/>
        <v>0</v>
      </c>
      <c r="Y31" s="598">
        <v>30</v>
      </c>
      <c r="Z31" s="596" t="str">
        <f t="shared" si="13"/>
        <v>Di</v>
      </c>
      <c r="AA31" s="597">
        <f t="shared" si="14"/>
        <v>0.35</v>
      </c>
      <c r="AB31" s="598">
        <v>30</v>
      </c>
      <c r="AC31" s="596" t="str">
        <f t="shared" si="15"/>
        <v>Do</v>
      </c>
      <c r="AD31" s="597">
        <f t="shared" si="16"/>
        <v>0.35</v>
      </c>
      <c r="AE31" s="598">
        <v>30</v>
      </c>
      <c r="AF31" s="596" t="str">
        <f t="shared" si="17"/>
        <v>So</v>
      </c>
      <c r="AG31" s="597">
        <f t="shared" si="18"/>
        <v>0</v>
      </c>
      <c r="AH31" s="598">
        <v>30</v>
      </c>
      <c r="AI31" s="596" t="str">
        <f t="shared" si="19"/>
        <v>Di</v>
      </c>
      <c r="AJ31" s="597">
        <f t="shared" si="20"/>
        <v>0.35</v>
      </c>
      <c r="AK31" s="599"/>
    </row>
    <row r="32" spans="1:37" ht="12" customHeight="1" thickBot="1" x14ac:dyDescent="0.25">
      <c r="A32" s="602">
        <v>31</v>
      </c>
      <c r="B32" s="603" t="str">
        <f t="shared" si="21"/>
        <v>Do</v>
      </c>
      <c r="C32" s="604">
        <f t="shared" si="24"/>
        <v>0.35</v>
      </c>
      <c r="D32" s="605"/>
      <c r="E32" s="606" t="s">
        <v>457</v>
      </c>
      <c r="F32" s="607"/>
      <c r="G32" s="605">
        <v>31</v>
      </c>
      <c r="H32" s="603" t="str">
        <f t="shared" si="1"/>
        <v>Mo</v>
      </c>
      <c r="I32" s="604">
        <f t="shared" si="2"/>
        <v>0.35</v>
      </c>
      <c r="J32" s="608"/>
      <c r="K32" s="609"/>
      <c r="L32" s="610"/>
      <c r="M32" s="605">
        <v>31</v>
      </c>
      <c r="N32" s="603" t="str">
        <f t="shared" si="5"/>
        <v>Sa</v>
      </c>
      <c r="O32" s="604">
        <f t="shared" si="6"/>
        <v>0</v>
      </c>
      <c r="P32" s="611"/>
      <c r="Q32" s="609"/>
      <c r="R32" s="610"/>
      <c r="S32" s="605">
        <v>31</v>
      </c>
      <c r="T32" s="603" t="str">
        <f t="shared" si="9"/>
        <v>Do</v>
      </c>
      <c r="U32" s="604">
        <f t="shared" si="10"/>
        <v>0.35</v>
      </c>
      <c r="V32" s="605">
        <v>31</v>
      </c>
      <c r="W32" s="603" t="str">
        <f t="shared" si="11"/>
        <v>So</v>
      </c>
      <c r="X32" s="604">
        <f t="shared" si="12"/>
        <v>0</v>
      </c>
      <c r="Y32" s="611"/>
      <c r="Z32" s="609"/>
      <c r="AA32" s="610"/>
      <c r="AB32" s="602">
        <v>31</v>
      </c>
      <c r="AC32" s="603" t="str">
        <f t="shared" si="15"/>
        <v>Fr</v>
      </c>
      <c r="AD32" s="604">
        <f t="shared" si="16"/>
        <v>0.35</v>
      </c>
      <c r="AE32" s="612"/>
      <c r="AF32" s="609"/>
      <c r="AG32" s="610"/>
      <c r="AH32" s="602">
        <v>31</v>
      </c>
      <c r="AI32" s="603" t="str">
        <f t="shared" si="19"/>
        <v>Silvester</v>
      </c>
      <c r="AJ32" s="604">
        <v>0.17500000000000002</v>
      </c>
      <c r="AK32" s="599"/>
    </row>
    <row r="33" spans="1:37" s="695" customFormat="1" x14ac:dyDescent="0.2">
      <c r="A33" s="1280" t="str">
        <f>CONCATENATE("Std. netto ",TEXT(TRUNC(C86)+(C86-TRUNC(C86))*0.6,"000.00"))</f>
        <v>Std. netto 00.176</v>
      </c>
      <c r="B33" s="1278"/>
      <c r="C33" s="1279"/>
      <c r="D33" s="1273">
        <f>TRUNC(F86)+(F86-TRUNC(F86))*0.6</f>
        <v>176.24000000000004</v>
      </c>
      <c r="E33" s="1274"/>
      <c r="F33" s="1275"/>
      <c r="G33" s="1277">
        <f>TRUNC(I86)+(I86-TRUNC(I86))*0.6</f>
        <v>157.12000000000003</v>
      </c>
      <c r="H33" s="1278"/>
      <c r="I33" s="1279"/>
      <c r="J33" s="1277">
        <f>TRUNC(L86)+(L86-TRUNC(L86))*0.6</f>
        <v>182.24000000000004</v>
      </c>
      <c r="K33" s="1278"/>
      <c r="L33" s="1279"/>
      <c r="M33" s="1277">
        <f>TRUNC(O86)+(O86-TRUNC(O86))*0.6</f>
        <v>168.00000000000003</v>
      </c>
      <c r="N33" s="1278"/>
      <c r="O33" s="1279"/>
      <c r="P33" s="1277">
        <f>TRUNC(R86)+(R86-TRUNC(R86))*0.6</f>
        <v>176.24000000000004</v>
      </c>
      <c r="Q33" s="1278"/>
      <c r="R33" s="1279"/>
      <c r="S33" s="1277">
        <f>TRUNC(U86)+(U86-TRUNC(U86))*0.6</f>
        <v>193.12000000000003</v>
      </c>
      <c r="T33" s="1278"/>
      <c r="U33" s="1279"/>
      <c r="V33" s="1277">
        <f>TRUNC(X86)+(X86-TRUNC(X86))*0.6</f>
        <v>168.00000000000003</v>
      </c>
      <c r="W33" s="1278"/>
      <c r="X33" s="1279"/>
      <c r="Y33" s="1277">
        <f>TRUNC(AA86)+(AA86-TRUNC(AA86))*0.6</f>
        <v>184.48000000000005</v>
      </c>
      <c r="Z33" s="1278"/>
      <c r="AA33" s="1279"/>
      <c r="AB33" s="1277">
        <f>TRUNC(AD86)+(AD86-TRUNC(AD86))*0.6</f>
        <v>193.12000000000003</v>
      </c>
      <c r="AC33" s="1278"/>
      <c r="AD33" s="1279"/>
      <c r="AE33" s="1277">
        <f>TRUNC(AG86)+(AG86-TRUNC(AG86))*0.6</f>
        <v>168.00000000000003</v>
      </c>
      <c r="AF33" s="1278"/>
      <c r="AG33" s="1279"/>
      <c r="AH33" s="1282">
        <f>TRUNC(AJ86)+(AJ86-TRUNC(AJ86))*0.6</f>
        <v>168.00000000000003</v>
      </c>
      <c r="AI33" s="1278"/>
      <c r="AJ33" s="1279"/>
      <c r="AK33" s="599"/>
    </row>
    <row r="34" spans="1:37" s="695" customFormat="1" ht="11.25" x14ac:dyDescent="0.2">
      <c r="A34" s="1276" t="str">
        <f>CONCATENATE("Feiertage  ",TEXT(TRUNC(B87)+(B87-TRUNC(B87))*0.6,"00.00"))</f>
        <v>Feiertage  0.016</v>
      </c>
      <c r="B34" s="1271"/>
      <c r="C34" s="1272"/>
      <c r="D34" s="1270">
        <f>TRUNC(E87)+(E87-TRUNC(E87))*0.6</f>
        <v>0</v>
      </c>
      <c r="E34" s="1271"/>
      <c r="F34" s="1272"/>
      <c r="G34" s="1270">
        <f>TRUNC(H87)+(H87-TRUNC(H87))*0.6</f>
        <v>16.48</v>
      </c>
      <c r="H34" s="1271"/>
      <c r="I34" s="1272"/>
      <c r="J34" s="1270">
        <f>TRUNC(K87)+(K87-TRUNC(K87))*0.6</f>
        <v>0</v>
      </c>
      <c r="K34" s="1271"/>
      <c r="L34" s="1272"/>
      <c r="M34" s="1270">
        <f>TRUNC(N87)+(N87-TRUNC(N87))*0.6</f>
        <v>16.48</v>
      </c>
      <c r="N34" s="1271"/>
      <c r="O34" s="1272"/>
      <c r="P34" s="1270">
        <f>TRUNC(Q87)+(Q87-TRUNC(Q87))*0.6</f>
        <v>0</v>
      </c>
      <c r="Q34" s="1271"/>
      <c r="R34" s="1272"/>
      <c r="S34" s="1270">
        <f>TRUNC(T87)+(T87-TRUNC(T87))*0.6</f>
        <v>0</v>
      </c>
      <c r="T34" s="1271"/>
      <c r="U34" s="1272"/>
      <c r="V34" s="1270">
        <f>TRUNC(W87)+(W87-TRUNC(W87))*0.6</f>
        <v>8.24</v>
      </c>
      <c r="W34" s="1271"/>
      <c r="X34" s="1272"/>
      <c r="Y34" s="1270">
        <f>TRUNC(Z87)+(Z87-TRUNC(Z87))*0.6</f>
        <v>0</v>
      </c>
      <c r="Z34" s="1271"/>
      <c r="AA34" s="1272"/>
      <c r="AB34" s="1270">
        <f>TRUNC(AC87)+(AC87-TRUNC(AC87))*0.6</f>
        <v>0</v>
      </c>
      <c r="AC34" s="1271"/>
      <c r="AD34" s="1272"/>
      <c r="AE34" s="1270">
        <f>TRUNC(AF87)+(AF87-TRUNC(AF87))*0.6</f>
        <v>0</v>
      </c>
      <c r="AF34" s="1271"/>
      <c r="AG34" s="1272"/>
      <c r="AH34" s="1270">
        <f>TRUNC(AI87)+(AI87-TRUNC(AI87))*0.6</f>
        <v>25.12</v>
      </c>
      <c r="AI34" s="1271"/>
      <c r="AJ34" s="1272"/>
      <c r="AK34" s="613"/>
    </row>
    <row r="35" spans="1:37" s="695" customFormat="1" ht="11.25" x14ac:dyDescent="0.2">
      <c r="A35" s="1276" t="str">
        <f>CONCATENATE("Spezialtage  ",TEXT(TRUNC(B88-B87)+(B88-B87-TRUNC(B88-B87))*0.6,"0.00"))</f>
        <v>Spezialtage  000</v>
      </c>
      <c r="B35" s="1271"/>
      <c r="C35" s="1272"/>
      <c r="D35" s="1270">
        <f>TRUNC(E88-E87)+(E88-E87-TRUNC(E88-E87))*0.6</f>
        <v>2.2382096176443155E-14</v>
      </c>
      <c r="E35" s="1271"/>
      <c r="F35" s="1272"/>
      <c r="G35" s="1270">
        <f>TRUNC(H88-H87)+(H88-H87-TRUNC(H88-H87))*0.6</f>
        <v>2.240000000000014</v>
      </c>
      <c r="H35" s="1271"/>
      <c r="I35" s="1272"/>
      <c r="J35" s="1270">
        <f>TRUNC(K88-K87)+(K88-K87-TRUNC(K88-K87))*0.6</f>
        <v>2.2400000000000224</v>
      </c>
      <c r="K35" s="1271"/>
      <c r="L35" s="1272"/>
      <c r="M35" s="1270">
        <f>TRUNC(N88-N87)+(N88-N87-TRUNC(N88-N87))*0.6</f>
        <v>6.394884621840901E-15</v>
      </c>
      <c r="N35" s="1271"/>
      <c r="O35" s="1272"/>
      <c r="P35" s="1270">
        <f>TRUNC(Q88-Q87)+(Q88-Q87-TRUNC(Q88-Q87))*0.6</f>
        <v>2.2382096176443155E-14</v>
      </c>
      <c r="Q35" s="1271"/>
      <c r="R35" s="1272"/>
      <c r="S35" s="1270">
        <f>TRUNC(T88-T87)+(T88-T87-TRUNC(T88-T87))*0.6</f>
        <v>2.4513724383723455E-14</v>
      </c>
      <c r="T35" s="1271"/>
      <c r="U35" s="1272"/>
      <c r="V35" s="1270">
        <f>TRUNC(W88-W87)+(W88-W87-TRUNC(W88-W87))*0.6</f>
        <v>2.1316282072803006E-14</v>
      </c>
      <c r="W35" s="1271"/>
      <c r="X35" s="1272"/>
      <c r="Y35" s="1270">
        <f>TRUNC(Z88-Z87)+(Z88-Z87-TRUNC(Z88-Z87))*0.6</f>
        <v>2.3447910280083305E-14</v>
      </c>
      <c r="Z35" s="1271"/>
      <c r="AA35" s="1272"/>
      <c r="AB35" s="1270">
        <f>TRUNC(AC88-AC87)+(AC88-AC87-TRUNC(AC88-AC87))*0.6</f>
        <v>2.4513724383723455E-14</v>
      </c>
      <c r="AC35" s="1271"/>
      <c r="AD35" s="1272"/>
      <c r="AE35" s="1270">
        <f>TRUNC(AF88-AF87)+(AF88-AF87-TRUNC(AF88-AF87))*0.6</f>
        <v>2.1316282072803006E-14</v>
      </c>
      <c r="AF35" s="1271"/>
      <c r="AG35" s="1272"/>
      <c r="AH35" s="1270">
        <f>TRUNC(AI88-AI87)+(AI88-AI87-TRUNC(AI88-AI87))*0.6</f>
        <v>1.9184653865522703E-14</v>
      </c>
      <c r="AI35" s="1271"/>
      <c r="AJ35" s="1272"/>
      <c r="AK35" s="613"/>
    </row>
    <row r="36" spans="1:37" s="695" customFormat="1" ht="11.25" x14ac:dyDescent="0.2">
      <c r="A36" s="1276" t="str">
        <f>CONCATENATE("Total FT + ST  ",TEXT(TRUNC(B88)+(B88-TRUNC(B88))*0.6,"00.00"))</f>
        <v>Total FT + ST  0.016</v>
      </c>
      <c r="B36" s="1271"/>
      <c r="C36" s="1272"/>
      <c r="D36" s="1270">
        <f>TRUNC(E88)+(E88-TRUNC(E88))*0.6</f>
        <v>2.2382096176443155E-14</v>
      </c>
      <c r="E36" s="1271"/>
      <c r="F36" s="1272"/>
      <c r="G36" s="1270">
        <f>TRUNC(H88)+(H88-TRUNC(H88))*0.6</f>
        <v>19.120000000000015</v>
      </c>
      <c r="H36" s="1271"/>
      <c r="I36" s="1272"/>
      <c r="J36" s="1270">
        <f>TRUNC(K88)+(K88-TRUNC(K88))*0.6</f>
        <v>2.2400000000000224</v>
      </c>
      <c r="K36" s="1271"/>
      <c r="L36" s="1272"/>
      <c r="M36" s="1270">
        <f>TRUNC(N88)+(N88-TRUNC(N88))*0.6</f>
        <v>16.480000000000008</v>
      </c>
      <c r="N36" s="1271"/>
      <c r="O36" s="1272"/>
      <c r="P36" s="1270">
        <f>TRUNC(Q88)+(Q88-TRUNC(Q88))*0.6</f>
        <v>2.2382096176443155E-14</v>
      </c>
      <c r="Q36" s="1271"/>
      <c r="R36" s="1272"/>
      <c r="S36" s="1270">
        <f>TRUNC(T88)+(T88-TRUNC(T88))*0.6</f>
        <v>2.4513724383723455E-14</v>
      </c>
      <c r="T36" s="1271"/>
      <c r="U36" s="1272"/>
      <c r="V36" s="1270">
        <f>TRUNC(W88)+(W88-TRUNC(W88))*0.6</f>
        <v>8.2400000000000215</v>
      </c>
      <c r="W36" s="1271"/>
      <c r="X36" s="1272"/>
      <c r="Y36" s="1270">
        <f>TRUNC(Z88)+(Z88-TRUNC(Z88))*0.6</f>
        <v>2.3447910280083305E-14</v>
      </c>
      <c r="Z36" s="1271"/>
      <c r="AA36" s="1272"/>
      <c r="AB36" s="1270">
        <f>TRUNC(AC88)+(AC88-TRUNC(AC88))*0.6</f>
        <v>2.4513724383723455E-14</v>
      </c>
      <c r="AC36" s="1271"/>
      <c r="AD36" s="1272"/>
      <c r="AE36" s="1270">
        <f>TRUNC(AF88)+(AF88-TRUNC(AF88))*0.6</f>
        <v>2.1316282072803006E-14</v>
      </c>
      <c r="AF36" s="1271"/>
      <c r="AG36" s="1272"/>
      <c r="AH36" s="1270">
        <f>TRUNC(AI88)+(AI88-TRUNC(AI88))*0.6</f>
        <v>25.120000000000022</v>
      </c>
      <c r="AI36" s="1271"/>
      <c r="AJ36" s="1272"/>
      <c r="AK36" s="613"/>
    </row>
    <row r="37" spans="1:37" s="695" customFormat="1" thickBot="1" x14ac:dyDescent="0.25">
      <c r="A37" s="1264" t="str">
        <f>CONCATENATE("Std. brutto  ",TEXT(TRUNC(B88+C86)+(B88+C86-TRUNC(B88+C86))*0.6,"000.00"))</f>
        <v>Std. brutto  00.193</v>
      </c>
      <c r="B37" s="1262"/>
      <c r="C37" s="1263"/>
      <c r="D37" s="1261">
        <f>TRUNC(E88+F86)+(E88+F86-TRUNC(E88+F86))*0.6</f>
        <v>176.24000000000007</v>
      </c>
      <c r="E37" s="1262"/>
      <c r="F37" s="1263"/>
      <c r="G37" s="1261">
        <f>TRUNC(H88+I86)+(H88+I86-TRUNC(H88+I86))*0.6</f>
        <v>176.24000000000004</v>
      </c>
      <c r="H37" s="1262"/>
      <c r="I37" s="1263"/>
      <c r="J37" s="1261">
        <f>TRUNC(K88+L86)+(K88+L86-TRUNC(K88+L86))*0.6</f>
        <v>184.48000000000005</v>
      </c>
      <c r="K37" s="1262"/>
      <c r="L37" s="1263"/>
      <c r="M37" s="1261">
        <f>TRUNC(N88+O86)+(N88+O86-TRUNC(N88+O86))*0.6</f>
        <v>184.48000000000005</v>
      </c>
      <c r="N37" s="1262"/>
      <c r="O37" s="1263"/>
      <c r="P37" s="1261">
        <f>TRUNC(Q88+R86)+(Q88+R86-TRUNC(Q88+R86))*0.6</f>
        <v>176.24000000000007</v>
      </c>
      <c r="Q37" s="1262"/>
      <c r="R37" s="1263"/>
      <c r="S37" s="1261">
        <f>TRUNC(T88+U86)+(T88+U86-TRUNC(T88+U86))*0.6</f>
        <v>193.12000000000006</v>
      </c>
      <c r="T37" s="1262"/>
      <c r="U37" s="1263"/>
      <c r="V37" s="1261">
        <f>TRUNC(W88+X86)+(W88+X86-TRUNC(W88+X86))*0.6</f>
        <v>176.24000000000007</v>
      </c>
      <c r="W37" s="1262"/>
      <c r="X37" s="1263"/>
      <c r="Y37" s="1261">
        <f>TRUNC(Z88+AA86)+(Z88+AA86-TRUNC(Z88+AA86))*0.6</f>
        <v>184.48000000000005</v>
      </c>
      <c r="Z37" s="1262"/>
      <c r="AA37" s="1263"/>
      <c r="AB37" s="1261">
        <f>TRUNC(AC88+AD86)+(AC88+AD86-TRUNC(AC88+AD86))*0.6</f>
        <v>193.12000000000006</v>
      </c>
      <c r="AC37" s="1262"/>
      <c r="AD37" s="1263"/>
      <c r="AE37" s="1261">
        <f>TRUNC(AF88+AG86)+(AF88+AG86-TRUNC(AF88+AG86))*0.6</f>
        <v>168.00000000000006</v>
      </c>
      <c r="AF37" s="1262"/>
      <c r="AG37" s="1263"/>
      <c r="AH37" s="1261">
        <f>TRUNC(AI88+AJ86)+(AI88+AJ86-TRUNC(AI88+AJ86))*0.6</f>
        <v>193.12000000000003</v>
      </c>
      <c r="AI37" s="1262"/>
      <c r="AJ37" s="1263"/>
      <c r="AK37" s="613"/>
    </row>
    <row r="38" spans="1:37" s="631" customFormat="1" ht="13.5" thickBot="1" x14ac:dyDescent="0.25">
      <c r="A38" s="1268" t="s">
        <v>458</v>
      </c>
      <c r="B38" s="1269"/>
      <c r="C38" s="614">
        <f>COUNTIF(C54:C84,"&gt;0")</f>
        <v>21</v>
      </c>
      <c r="D38" s="1265">
        <f>COUNTIF(F54:F84,"&gt;0")</f>
        <v>21</v>
      </c>
      <c r="E38" s="1266"/>
      <c r="F38" s="1267"/>
      <c r="G38" s="1265">
        <f>COUNTIF(I54:I84,"&gt;0")</f>
        <v>19</v>
      </c>
      <c r="H38" s="1266"/>
      <c r="I38" s="1267"/>
      <c r="J38" s="1265">
        <f>COUNTIF(L54:L84,"&gt;0")</f>
        <v>22</v>
      </c>
      <c r="K38" s="1266"/>
      <c r="L38" s="1267"/>
      <c r="M38" s="1265">
        <f>COUNTIF(O54:O84,"&gt;0")</f>
        <v>20</v>
      </c>
      <c r="N38" s="1266"/>
      <c r="O38" s="1267"/>
      <c r="P38" s="1265">
        <f>COUNTIF(R54:R84,"&gt;0")</f>
        <v>21</v>
      </c>
      <c r="Q38" s="1266"/>
      <c r="R38" s="1267"/>
      <c r="S38" s="1265">
        <f>COUNTIF(U54:U84,"&gt;0")</f>
        <v>23</v>
      </c>
      <c r="T38" s="1266"/>
      <c r="U38" s="1267"/>
      <c r="V38" s="1265">
        <f>COUNTIF(X54:X84,"&gt;0")</f>
        <v>20</v>
      </c>
      <c r="W38" s="1266"/>
      <c r="X38" s="1267"/>
      <c r="Y38" s="1265">
        <f>COUNTIF(AA54:AA84,"&gt;0")</f>
        <v>22</v>
      </c>
      <c r="Z38" s="1266"/>
      <c r="AA38" s="1267"/>
      <c r="AB38" s="1265">
        <f>COUNTIF(AD54:AD84,"&gt;0")</f>
        <v>23</v>
      </c>
      <c r="AC38" s="1266"/>
      <c r="AD38" s="1267"/>
      <c r="AE38" s="1265">
        <f>COUNTIF(AG54:AG84,"&gt;0")</f>
        <v>20</v>
      </c>
      <c r="AF38" s="1266"/>
      <c r="AG38" s="1267"/>
      <c r="AH38" s="1265">
        <f>COUNTIF(AJ54:AJ84,"&gt;0")</f>
        <v>21</v>
      </c>
      <c r="AI38" s="1266"/>
      <c r="AJ38" s="1281"/>
      <c r="AK38" s="615"/>
    </row>
    <row r="39" spans="1:37" s="631" customFormat="1" ht="7.5" customHeight="1" x14ac:dyDescent="0.2">
      <c r="A39" s="616"/>
      <c r="B39" s="617"/>
      <c r="C39" s="618"/>
      <c r="D39" s="619"/>
      <c r="E39" s="620"/>
      <c r="F39" s="620"/>
      <c r="G39" s="619"/>
      <c r="H39" s="620"/>
      <c r="I39" s="620"/>
      <c r="J39" s="619"/>
      <c r="K39" s="620"/>
      <c r="L39" s="620"/>
      <c r="M39" s="619"/>
      <c r="N39" s="620"/>
      <c r="O39" s="620"/>
      <c r="P39" s="619"/>
      <c r="Q39" s="620"/>
      <c r="R39" s="620"/>
      <c r="S39" s="619"/>
      <c r="T39" s="620"/>
      <c r="U39" s="620"/>
      <c r="V39" s="619"/>
      <c r="W39" s="620"/>
      <c r="X39" s="620"/>
      <c r="Y39" s="619"/>
      <c r="Z39" s="620"/>
      <c r="AA39" s="620"/>
      <c r="AB39" s="619"/>
      <c r="AC39" s="620"/>
      <c r="AD39" s="620"/>
      <c r="AE39" s="619"/>
      <c r="AF39" s="620"/>
      <c r="AG39" s="620"/>
      <c r="AH39" s="619"/>
      <c r="AI39" s="620"/>
      <c r="AJ39" s="620"/>
      <c r="AK39" s="621"/>
    </row>
    <row r="40" spans="1:37" s="629" customFormat="1" x14ac:dyDescent="0.2">
      <c r="A40" s="622"/>
      <c r="B40" s="623" t="str">
        <f>CONCATENATE("Summen für ",TEXT($AK$1,"0000"))</f>
        <v>Summen für 2008</v>
      </c>
      <c r="C40" s="624"/>
      <c r="D40" s="625"/>
      <c r="E40" s="626"/>
      <c r="F40" s="627"/>
      <c r="G40" s="625"/>
      <c r="H40" s="627"/>
      <c r="I40" s="627"/>
      <c r="J40" s="625"/>
      <c r="K40" s="627"/>
      <c r="L40" s="627"/>
      <c r="M40" s="625"/>
      <c r="N40" s="627"/>
      <c r="O40" s="627"/>
      <c r="P40" s="625"/>
      <c r="Q40" s="627"/>
      <c r="R40" s="627"/>
      <c r="S40" s="625"/>
      <c r="T40" s="627"/>
      <c r="U40" s="627"/>
      <c r="V40" s="625"/>
      <c r="W40" s="627"/>
      <c r="X40" s="627"/>
      <c r="Y40" s="625"/>
      <c r="Z40" s="627"/>
      <c r="AA40" s="627"/>
      <c r="AB40" s="625"/>
      <c r="AC40" s="627"/>
      <c r="AD40" s="627"/>
      <c r="AE40" s="625"/>
      <c r="AF40" s="627"/>
      <c r="AG40" s="627"/>
      <c r="AH40" s="625"/>
      <c r="AI40" s="627"/>
      <c r="AJ40" s="627"/>
      <c r="AK40" s="628"/>
    </row>
    <row r="41" spans="1:37" s="629" customFormat="1" x14ac:dyDescent="0.2">
      <c r="A41" s="622"/>
      <c r="B41" s="1088" t="s">
        <v>459</v>
      </c>
      <c r="C41" s="1089"/>
      <c r="D41" s="1090"/>
      <c r="E41" s="1091">
        <f>TRUNC(AK86)+(AK86-TRUNC(AK86))*0.6</f>
        <v>2112.0000000000005</v>
      </c>
      <c r="F41" s="627"/>
      <c r="G41" s="625"/>
      <c r="H41" s="1088" t="s">
        <v>460</v>
      </c>
      <c r="I41" s="1089"/>
      <c r="J41" s="1090"/>
      <c r="K41" s="1091">
        <f>TRUNC(AK87)+(AK87-TRUNC(AK87))*0.6</f>
        <v>84</v>
      </c>
      <c r="L41" s="627"/>
      <c r="M41" s="625"/>
      <c r="N41" s="1088" t="s">
        <v>458</v>
      </c>
      <c r="O41" s="1089"/>
      <c r="P41" s="1090"/>
      <c r="Q41" s="1092">
        <f>SUM(A38:AI38)</f>
        <v>253</v>
      </c>
      <c r="R41" s="627"/>
      <c r="S41" s="625"/>
      <c r="T41" s="624"/>
      <c r="U41" s="624"/>
      <c r="V41" s="624"/>
      <c r="W41" s="624"/>
      <c r="X41" s="627"/>
      <c r="Y41" s="625"/>
      <c r="Z41" s="627"/>
      <c r="AA41" s="627"/>
      <c r="AB41" s="625"/>
      <c r="AC41" s="627"/>
      <c r="AD41" s="627"/>
      <c r="AE41" s="625"/>
      <c r="AF41" s="627"/>
      <c r="AG41" s="627"/>
      <c r="AH41" s="625"/>
      <c r="AI41" s="627"/>
      <c r="AJ41" s="627"/>
      <c r="AK41" s="628"/>
    </row>
    <row r="42" spans="1:37" s="629" customFormat="1" x14ac:dyDescent="0.2">
      <c r="A42" s="622"/>
      <c r="B42" s="1088" t="s">
        <v>461</v>
      </c>
      <c r="C42" s="1089"/>
      <c r="D42" s="1090"/>
      <c r="E42" s="1091">
        <f>TRUNC(AK88+AK86)+(AK88+AK86-TRUNC(AK88+AK86))*0.6</f>
        <v>2200.4800000000005</v>
      </c>
      <c r="F42" s="627"/>
      <c r="G42" s="625"/>
      <c r="H42" s="1088" t="s">
        <v>462</v>
      </c>
      <c r="I42" s="1089"/>
      <c r="J42" s="1090"/>
      <c r="K42" s="1091">
        <f>TRUNC(AK88-AK87)+(AK88-AK87-TRUNC(AK88-AK87))*0.6</f>
        <v>4.4800000000002287</v>
      </c>
      <c r="L42" s="627"/>
      <c r="M42" s="625"/>
      <c r="N42" s="627"/>
      <c r="O42" s="627"/>
      <c r="P42" s="625"/>
      <c r="Q42" s="627"/>
      <c r="R42" s="627"/>
      <c r="S42" s="625"/>
      <c r="T42" s="627"/>
      <c r="U42" s="627"/>
      <c r="V42" s="625"/>
      <c r="W42" s="627"/>
      <c r="X42" s="627"/>
      <c r="Y42" s="625"/>
      <c r="Z42" s="627"/>
      <c r="AA42" s="627"/>
      <c r="AB42" s="625"/>
      <c r="AC42" s="627"/>
      <c r="AD42" s="627"/>
      <c r="AE42" s="625"/>
      <c r="AF42" s="627"/>
      <c r="AG42" s="627"/>
      <c r="AH42" s="625"/>
      <c r="AI42" s="627"/>
      <c r="AJ42" s="627"/>
      <c r="AK42" s="628"/>
    </row>
    <row r="43" spans="1:37" s="629" customFormat="1" x14ac:dyDescent="0.2">
      <c r="A43" s="622"/>
      <c r="B43" s="624"/>
      <c r="C43" s="624"/>
      <c r="D43" s="624"/>
      <c r="E43" s="624"/>
      <c r="F43" s="627"/>
      <c r="G43" s="625"/>
      <c r="H43" s="1088" t="s">
        <v>463</v>
      </c>
      <c r="I43" s="1089"/>
      <c r="J43" s="1090"/>
      <c r="K43" s="1091">
        <f>TRUNC(AK88)+(AK88-TRUNC(AK88))*0.6</f>
        <v>88.480000000000231</v>
      </c>
      <c r="L43" s="627"/>
      <c r="M43" s="625"/>
      <c r="N43" s="627"/>
      <c r="O43" s="627"/>
      <c r="P43" s="625"/>
      <c r="Q43" s="627"/>
      <c r="R43" s="627"/>
      <c r="S43" s="625"/>
      <c r="T43" s="627"/>
      <c r="U43" s="627"/>
      <c r="V43" s="625"/>
      <c r="W43" s="627"/>
      <c r="X43" s="627"/>
      <c r="Y43" s="625"/>
      <c r="Z43" s="627"/>
      <c r="AA43" s="627"/>
      <c r="AB43" s="625"/>
      <c r="AC43" s="627"/>
      <c r="AD43" s="627"/>
      <c r="AE43" s="625"/>
      <c r="AF43" s="627"/>
      <c r="AG43" s="627"/>
      <c r="AH43" s="625"/>
      <c r="AI43" s="627"/>
      <c r="AJ43" s="627"/>
      <c r="AK43" s="628"/>
    </row>
    <row r="44" spans="1:37" s="631" customFormat="1" ht="11.25" x14ac:dyDescent="0.2">
      <c r="A44" s="616"/>
      <c r="B44" s="615"/>
      <c r="C44" s="615"/>
      <c r="D44" s="615"/>
      <c r="E44" s="615"/>
      <c r="F44" s="620"/>
      <c r="G44" s="619"/>
      <c r="H44" s="620"/>
      <c r="I44" s="620"/>
      <c r="J44" s="619"/>
      <c r="K44" s="620"/>
      <c r="L44" s="620"/>
      <c r="M44" s="619"/>
      <c r="N44" s="620"/>
      <c r="O44" s="620"/>
      <c r="P44" s="619"/>
      <c r="Q44" s="620"/>
      <c r="R44" s="620"/>
      <c r="S44" s="619"/>
      <c r="T44" s="620"/>
      <c r="U44" s="620"/>
      <c r="V44" s="619"/>
      <c r="W44" s="620"/>
      <c r="X44" s="620"/>
      <c r="Y44" s="619"/>
      <c r="Z44" s="620"/>
      <c r="AA44" s="620"/>
      <c r="AB44" s="619"/>
      <c r="AC44" s="620"/>
      <c r="AD44" s="620"/>
      <c r="AE44" s="619"/>
      <c r="AF44" s="620"/>
      <c r="AG44" s="620"/>
      <c r="AH44" s="619"/>
      <c r="AI44" s="620"/>
      <c r="AJ44" s="630" t="s">
        <v>464</v>
      </c>
      <c r="AK44" s="621"/>
    </row>
    <row r="45" spans="1:37" s="629" customFormat="1" x14ac:dyDescent="0.2">
      <c r="A45" s="622"/>
      <c r="B45" s="1088" t="s">
        <v>459</v>
      </c>
      <c r="C45" s="1089"/>
      <c r="D45" s="1090"/>
      <c r="E45" s="1091">
        <v>2105.2399999999998</v>
      </c>
      <c r="F45" s="627"/>
      <c r="G45" s="625"/>
      <c r="H45" s="1088" t="s">
        <v>460</v>
      </c>
      <c r="I45" s="1089"/>
      <c r="J45" s="1090"/>
      <c r="K45" s="1091">
        <v>88.12</v>
      </c>
      <c r="L45" s="627"/>
      <c r="M45" s="625"/>
      <c r="N45" s="1088" t="s">
        <v>458</v>
      </c>
      <c r="O45" s="1089"/>
      <c r="P45" s="1090"/>
      <c r="Q45" s="1092">
        <v>253</v>
      </c>
      <c r="R45" s="627"/>
      <c r="S45" s="625"/>
      <c r="T45" s="624"/>
      <c r="U45" s="624"/>
      <c r="V45" s="624"/>
      <c r="W45" s="624"/>
      <c r="X45" s="627"/>
      <c r="Y45" s="625"/>
      <c r="Z45" s="627"/>
      <c r="AA45" s="627"/>
      <c r="AB45" s="625"/>
      <c r="AC45" s="627"/>
      <c r="AD45" s="627"/>
      <c r="AE45" s="625"/>
      <c r="AF45" s="627"/>
      <c r="AG45" s="627"/>
      <c r="AH45" s="625"/>
      <c r="AI45" s="627"/>
      <c r="AJ45" s="627"/>
      <c r="AK45" s="628"/>
    </row>
    <row r="46" spans="1:37" s="629" customFormat="1" x14ac:dyDescent="0.2">
      <c r="A46" s="622"/>
      <c r="B46" s="1088" t="s">
        <v>461</v>
      </c>
      <c r="C46" s="1089"/>
      <c r="D46" s="1090"/>
      <c r="E46" s="1091">
        <v>2200.48</v>
      </c>
      <c r="F46" s="627"/>
      <c r="G46" s="625"/>
      <c r="H46" s="1088" t="s">
        <v>462</v>
      </c>
      <c r="I46" s="1089"/>
      <c r="J46" s="1090"/>
      <c r="K46" s="1091">
        <v>7.120000000000223</v>
      </c>
      <c r="L46" s="627"/>
      <c r="M46" s="625"/>
      <c r="N46" s="627"/>
      <c r="O46" s="627"/>
      <c r="P46" s="625"/>
      <c r="Q46" s="627"/>
      <c r="R46" s="627"/>
      <c r="S46" s="625"/>
      <c r="T46" s="627"/>
      <c r="U46" s="627"/>
      <c r="V46" s="625"/>
      <c r="W46" s="627"/>
      <c r="X46" s="627"/>
      <c r="Y46" s="625"/>
      <c r="Z46" s="627"/>
      <c r="AA46" s="627"/>
      <c r="AB46" s="625"/>
      <c r="AC46" s="627"/>
      <c r="AD46" s="627"/>
      <c r="AE46" s="625"/>
      <c r="AF46" s="627"/>
      <c r="AG46" s="627"/>
      <c r="AH46" s="625"/>
      <c r="AI46" s="627"/>
      <c r="AJ46" s="627"/>
      <c r="AK46" s="628"/>
    </row>
    <row r="47" spans="1:37" s="629" customFormat="1" x14ac:dyDescent="0.2">
      <c r="A47" s="622"/>
      <c r="B47" s="624"/>
      <c r="E47" s="624"/>
      <c r="F47" s="627"/>
      <c r="G47" s="625"/>
      <c r="H47" s="1088" t="s">
        <v>463</v>
      </c>
      <c r="I47" s="1089"/>
      <c r="J47" s="1090"/>
      <c r="K47" s="1091">
        <v>95.240000000000222</v>
      </c>
      <c r="L47" s="627"/>
      <c r="M47" s="625"/>
      <c r="N47" s="627"/>
      <c r="O47" s="627"/>
      <c r="P47" s="625"/>
      <c r="Q47" s="627"/>
      <c r="R47" s="627"/>
      <c r="S47" s="625"/>
      <c r="T47" s="627"/>
      <c r="U47" s="627"/>
      <c r="V47" s="625"/>
      <c r="W47" s="627"/>
      <c r="X47" s="627"/>
      <c r="Y47" s="625"/>
      <c r="Z47" s="627"/>
      <c r="AA47" s="627"/>
      <c r="AB47" s="625"/>
      <c r="AC47" s="627"/>
      <c r="AD47" s="627"/>
      <c r="AE47" s="625"/>
      <c r="AF47" s="627"/>
      <c r="AG47" s="627"/>
      <c r="AH47" s="625"/>
      <c r="AI47" s="627"/>
      <c r="AJ47" s="627"/>
      <c r="AK47" s="628"/>
    </row>
    <row r="48" spans="1:37" s="631" customFormat="1" ht="11.25" x14ac:dyDescent="0.2">
      <c r="A48" s="616"/>
      <c r="F48" s="632"/>
      <c r="G48" s="619"/>
      <c r="H48" s="632"/>
      <c r="I48" s="632"/>
      <c r="J48" s="619"/>
      <c r="K48" s="632"/>
      <c r="L48" s="632"/>
      <c r="M48" s="619"/>
      <c r="N48" s="632"/>
      <c r="O48" s="632"/>
      <c r="P48" s="619"/>
      <c r="Q48" s="632"/>
      <c r="R48" s="632"/>
      <c r="S48" s="619"/>
      <c r="T48" s="632"/>
      <c r="U48" s="632"/>
      <c r="V48" s="619"/>
      <c r="W48" s="632"/>
      <c r="X48" s="632"/>
      <c r="Y48" s="619"/>
      <c r="Z48" s="632"/>
      <c r="AA48" s="632"/>
      <c r="AB48" s="619"/>
      <c r="AC48" s="632"/>
      <c r="AD48" s="632"/>
      <c r="AE48" s="619"/>
      <c r="AF48" s="632"/>
      <c r="AG48" s="632"/>
      <c r="AH48" s="619"/>
      <c r="AI48" s="632"/>
      <c r="AJ48" s="632"/>
      <c r="AK48" s="621"/>
    </row>
    <row r="49" spans="1:37" s="631" customFormat="1" x14ac:dyDescent="0.2">
      <c r="A49" s="616"/>
      <c r="C49" s="624">
        <v>52</v>
      </c>
      <c r="D49" s="633">
        <v>42</v>
      </c>
      <c r="E49" s="631">
        <f>D49*C49</f>
        <v>2184</v>
      </c>
      <c r="F49" s="632"/>
      <c r="G49" s="619"/>
      <c r="H49" s="632"/>
      <c r="I49" s="632"/>
      <c r="J49" s="619"/>
      <c r="K49" s="632"/>
      <c r="L49" s="632"/>
      <c r="M49" s="619"/>
      <c r="N49" s="632"/>
      <c r="O49" s="632"/>
      <c r="P49" s="619"/>
      <c r="Q49" s="632"/>
      <c r="R49" s="632"/>
      <c r="S49" s="619"/>
      <c r="T49" s="632"/>
      <c r="U49" s="632"/>
      <c r="V49" s="619"/>
      <c r="W49" s="632"/>
      <c r="X49" s="632"/>
      <c r="Y49" s="619"/>
      <c r="Z49" s="632"/>
      <c r="AA49" s="632"/>
      <c r="AB49" s="619"/>
      <c r="AC49" s="632"/>
      <c r="AD49" s="632"/>
      <c r="AE49" s="619"/>
      <c r="AF49" s="632"/>
      <c r="AG49" s="632"/>
      <c r="AH49" s="619"/>
      <c r="AI49" s="632"/>
      <c r="AJ49" s="632"/>
      <c r="AK49" s="621"/>
    </row>
    <row r="50" spans="1:37" s="631" customFormat="1" x14ac:dyDescent="0.2">
      <c r="A50" s="616"/>
      <c r="C50" s="624">
        <v>52</v>
      </c>
      <c r="D50" s="633">
        <v>50.4</v>
      </c>
      <c r="E50" s="631">
        <f>D50*C50</f>
        <v>2620.7999999999997</v>
      </c>
      <c r="F50" s="632"/>
      <c r="G50" s="619"/>
      <c r="H50" s="632"/>
      <c r="I50" s="632"/>
      <c r="J50" s="619"/>
      <c r="K50" s="632"/>
      <c r="L50" s="632"/>
      <c r="M50" s="619"/>
      <c r="N50" s="632"/>
      <c r="O50" s="632"/>
      <c r="P50" s="619"/>
      <c r="Q50" s="632"/>
      <c r="R50" s="632"/>
      <c r="S50" s="619"/>
      <c r="T50" s="632"/>
      <c r="U50" s="632"/>
      <c r="V50" s="619"/>
      <c r="W50" s="632"/>
      <c r="X50" s="632"/>
      <c r="Y50" s="619"/>
      <c r="Z50" s="632"/>
      <c r="AA50" s="632"/>
      <c r="AB50" s="619"/>
      <c r="AC50" s="632"/>
      <c r="AD50" s="632"/>
      <c r="AE50" s="619"/>
      <c r="AF50" s="632"/>
      <c r="AG50" s="632"/>
      <c r="AH50" s="619"/>
      <c r="AI50" s="632"/>
      <c r="AJ50" s="632"/>
      <c r="AK50" s="621"/>
    </row>
    <row r="51" spans="1:37" s="631" customFormat="1" ht="11.25" x14ac:dyDescent="0.2">
      <c r="A51" s="616"/>
      <c r="F51" s="632"/>
      <c r="G51" s="619"/>
      <c r="H51" s="632"/>
      <c r="I51" s="632"/>
      <c r="J51" s="619"/>
      <c r="K51" s="632"/>
      <c r="L51" s="632"/>
      <c r="M51" s="619"/>
      <c r="N51" s="632"/>
      <c r="O51" s="632"/>
      <c r="P51" s="619"/>
      <c r="Q51" s="632"/>
      <c r="R51" s="632"/>
      <c r="S51" s="619"/>
      <c r="T51" s="632"/>
      <c r="U51" s="632"/>
      <c r="V51" s="619"/>
      <c r="W51" s="632"/>
      <c r="X51" s="632"/>
      <c r="Y51" s="619"/>
      <c r="Z51" s="632"/>
      <c r="AA51" s="632"/>
      <c r="AB51" s="619"/>
      <c r="AC51" s="632"/>
      <c r="AD51" s="632"/>
      <c r="AE51" s="619"/>
      <c r="AF51" s="632"/>
      <c r="AG51" s="632"/>
      <c r="AH51" s="619"/>
      <c r="AI51" s="632"/>
      <c r="AJ51" s="632"/>
      <c r="AK51" s="621"/>
    </row>
    <row r="52" spans="1:37" s="631" customFormat="1" ht="11.25" x14ac:dyDescent="0.2">
      <c r="A52" s="616"/>
      <c r="B52" s="615"/>
      <c r="C52" s="615"/>
      <c r="D52" s="615"/>
      <c r="E52" s="615"/>
      <c r="F52" s="620"/>
      <c r="G52" s="619"/>
      <c r="H52" s="620"/>
      <c r="I52" s="620"/>
      <c r="J52" s="619"/>
      <c r="K52" s="620"/>
      <c r="L52" s="620"/>
      <c r="M52" s="619"/>
      <c r="N52" s="620"/>
      <c r="O52" s="620"/>
      <c r="P52" s="619"/>
      <c r="Q52" s="620"/>
      <c r="R52" s="620"/>
      <c r="S52" s="619"/>
      <c r="T52" s="620"/>
      <c r="U52" s="620"/>
      <c r="V52" s="619"/>
      <c r="W52" s="620"/>
      <c r="X52" s="620"/>
      <c r="Y52" s="619"/>
      <c r="Z52" s="620"/>
      <c r="AA52" s="620"/>
      <c r="AB52" s="619"/>
      <c r="AC52" s="620"/>
      <c r="AD52" s="620"/>
      <c r="AE52" s="619"/>
      <c r="AF52" s="620"/>
      <c r="AG52" s="620"/>
      <c r="AH52" s="619"/>
      <c r="AI52" s="620"/>
      <c r="AJ52" s="620"/>
      <c r="AK52" s="621"/>
    </row>
    <row r="53" spans="1:37" s="696" customFormat="1" ht="12" customHeight="1" x14ac:dyDescent="0.15">
      <c r="A53" s="634"/>
      <c r="B53" s="635"/>
      <c r="C53" s="636"/>
      <c r="D53" s="637"/>
      <c r="E53" s="635"/>
      <c r="F53" s="636"/>
      <c r="G53" s="637"/>
      <c r="H53" s="635"/>
      <c r="I53" s="636"/>
      <c r="J53" s="637"/>
      <c r="K53" s="635"/>
      <c r="L53" s="636"/>
      <c r="M53" s="637"/>
      <c r="N53" s="635"/>
      <c r="O53" s="636"/>
      <c r="P53" s="637"/>
      <c r="Q53" s="635"/>
      <c r="R53" s="636"/>
      <c r="S53" s="637"/>
      <c r="T53" s="635"/>
      <c r="U53" s="636"/>
      <c r="V53" s="637"/>
      <c r="W53" s="635"/>
      <c r="X53" s="636"/>
      <c r="Y53" s="637"/>
      <c r="Z53" s="635"/>
      <c r="AA53" s="636"/>
      <c r="AB53" s="637"/>
      <c r="AC53" s="635"/>
      <c r="AD53" s="636"/>
      <c r="AE53" s="637"/>
      <c r="AF53" s="635"/>
      <c r="AG53" s="636"/>
      <c r="AH53" s="635"/>
      <c r="AI53" s="635"/>
      <c r="AJ53" s="636"/>
      <c r="AK53" s="638"/>
    </row>
    <row r="54" spans="1:37" s="696" customFormat="1" ht="11.25" customHeight="1" x14ac:dyDescent="0.15">
      <c r="A54" s="639">
        <f t="shared" ref="A54:A84" si="25">A2</f>
        <v>1</v>
      </c>
      <c r="B54" s="640">
        <f t="shared" ref="B54:B84" si="26">IF(ISBLANK(C2),0,IF(OR(OR(WEEKDAY(DATE($AK$1,C$1,A2))=1,WEEKDAY(DATE($AK$1,C$1,A2))=7)),0,IF(ISNONTEXT(C2),8.4-C54,8.4-C54)))</f>
        <v>8.4</v>
      </c>
      <c r="C54" s="636">
        <f>C2*24</f>
        <v>0</v>
      </c>
      <c r="D54" s="641">
        <f t="shared" ref="D54:D81" si="27">D2</f>
        <v>1</v>
      </c>
      <c r="E54" s="640">
        <f t="shared" ref="E54:E81" si="28">IF(ISBLANK(F2),0,IF(OR(OR(WEEKDAY(DATE($AK$1,F$1,D2))=1,WEEKDAY(DATE($AK$1,F$1,D2))=7)),0,IF(ISNONTEXT(F2),8.4-F54,8.4-F54)))</f>
        <v>1.7763568394002505E-15</v>
      </c>
      <c r="F54" s="636">
        <f>F2*24</f>
        <v>8.3999999999999986</v>
      </c>
      <c r="G54" s="641">
        <f t="shared" ref="G54:G84" si="29">G2</f>
        <v>1</v>
      </c>
      <c r="H54" s="640">
        <f t="shared" ref="H54:H84" si="30">IF(ISBLANK(I2),0,IF(OR(OR(WEEKDAY(DATE($AK$1,I$1,G2))=1,WEEKDAY(DATE($AK$1,I$1,G2))=7)),0,IF(ISNONTEXT(I2),8.4-I54,8.4-I54)))</f>
        <v>0</v>
      </c>
      <c r="I54" s="636">
        <f>I2*24</f>
        <v>0</v>
      </c>
      <c r="J54" s="641">
        <f t="shared" ref="J54:J83" si="31">J2</f>
        <v>1</v>
      </c>
      <c r="K54" s="640">
        <f t="shared" ref="K54:K83" si="32">IF(ISBLANK(L2),0,IF(OR(OR(WEEKDAY(DATE($AK$1,L$1,J2))=1,WEEKDAY(DATE($AK$1,L$1,J2))=7)),0,IF(ISNONTEXT(L2),8.4-L54,8.4-L54)))</f>
        <v>1.7763568394002505E-15</v>
      </c>
      <c r="L54" s="636">
        <f>L2*24</f>
        <v>8.3999999999999986</v>
      </c>
      <c r="M54" s="641">
        <f t="shared" ref="M54:M84" si="33">M2</f>
        <v>1</v>
      </c>
      <c r="N54" s="640">
        <f t="shared" ref="N54:N84" si="34">IF(ISBLANK(O2),0,IF(OR(OR(WEEKDAY(DATE($AK$1,O$1,M2))=1,WEEKDAY(DATE($AK$1,O$1,M2))=7)),0,IF(ISNONTEXT(O2),8.4-O54,8.4-O54)))</f>
        <v>8.4</v>
      </c>
      <c r="O54" s="636">
        <f>O2*24</f>
        <v>0</v>
      </c>
      <c r="P54" s="641">
        <f t="shared" ref="P54:P83" si="35">P2</f>
        <v>1</v>
      </c>
      <c r="Q54" s="640">
        <f t="shared" ref="Q54:Q83" si="36">IF(ISBLANK(R2),0,IF(OR(OR(WEEKDAY(DATE($AK$1,R$1,P2))=1,WEEKDAY(DATE($AK$1,R$1,P2))=7)),0,IF(ISNONTEXT(R2),8.4-R54,8.4-R54)))</f>
        <v>0</v>
      </c>
      <c r="R54" s="636">
        <f>R2*24</f>
        <v>0</v>
      </c>
      <c r="S54" s="641">
        <f t="shared" ref="S54:S84" si="37">S2</f>
        <v>1</v>
      </c>
      <c r="T54" s="640">
        <f t="shared" ref="T54:T84" si="38">IF(ISBLANK(U2),0,IF(OR(OR(WEEKDAY(DATE($AK$1,U$1,S2))=1,WEEKDAY(DATE($AK$1,U$1,S2))=7)),0,IF(ISNONTEXT(U2),8.4-U54,8.4-U54)))</f>
        <v>1.7763568394002505E-15</v>
      </c>
      <c r="U54" s="636">
        <f>U2*24</f>
        <v>8.3999999999999986</v>
      </c>
      <c r="V54" s="641">
        <f t="shared" ref="V54:V84" si="39">V2</f>
        <v>1</v>
      </c>
      <c r="W54" s="640">
        <f t="shared" ref="W54:W84" si="40">IF(ISBLANK(X2),0,IF(OR(OR(WEEKDAY(DATE($AK$1,X$1,V2))=1,WEEKDAY(DATE($AK$1,X$1,V2))=7)),0,IF(ISNONTEXT(X2),8.4-X54,8.4-X54)))</f>
        <v>8.4</v>
      </c>
      <c r="X54" s="636">
        <f>X2*24</f>
        <v>0</v>
      </c>
      <c r="Y54" s="641">
        <f t="shared" ref="Y54:Y83" si="41">Y2</f>
        <v>1</v>
      </c>
      <c r="Z54" s="640">
        <f t="shared" ref="Z54:Z83" si="42">IF(ISBLANK(AA2),0,IF(OR(OR(WEEKDAY(DATE($AK$1,AA$1,Y2))=1,WEEKDAY(DATE($AK$1,AA$1,Y2))=7)),0,IF(ISNONTEXT(AA2),8.4-AA54,8.4-AA54)))</f>
        <v>1.7763568394002505E-15</v>
      </c>
      <c r="AA54" s="636">
        <f>AA2*24</f>
        <v>8.3999999999999986</v>
      </c>
      <c r="AB54" s="641">
        <f t="shared" ref="AB54:AB84" si="43">AB2</f>
        <v>1</v>
      </c>
      <c r="AC54" s="640">
        <f t="shared" ref="AC54:AC84" si="44">IF(ISBLANK(AD2),0,IF(OR(OR(WEEKDAY(DATE($AK$1,AD$1,AB2))=1,WEEKDAY(DATE($AK$1,AD$1,AB2))=7)),0,IF(ISNONTEXT(AD2),8.4-AD54,8.4-AD54)))</f>
        <v>1.7763568394002505E-15</v>
      </c>
      <c r="AD54" s="636">
        <f>AD2*24</f>
        <v>8.3999999999999986</v>
      </c>
      <c r="AE54" s="641">
        <f t="shared" ref="AE54:AE83" si="45">AE2</f>
        <v>1</v>
      </c>
      <c r="AF54" s="640">
        <f t="shared" ref="AF54:AF83" si="46">IF(ISBLANK(AG2),0,IF(OR(OR(WEEKDAY(DATE($AK$1,AG$1,AE2))=1,WEEKDAY(DATE($AK$1,AG$1,AE2))=7)),0,IF(ISNONTEXT(AG2),8.4-AG54,8.4-AG54)))</f>
        <v>0</v>
      </c>
      <c r="AG54" s="636">
        <f>AG2*24</f>
        <v>0</v>
      </c>
      <c r="AH54" s="642">
        <f t="shared" ref="AH54:AH84" si="47">AH2</f>
        <v>1</v>
      </c>
      <c r="AI54" s="640">
        <f t="shared" ref="AI54:AI84" si="48">IF(ISBLANK(AJ2),0,IF(OR(OR(WEEKDAY(DATE($AK$1,AJ$1,AH2))=1,WEEKDAY(DATE($AK$1,AJ$1,AH2))=7)),0,IF(ISNONTEXT(AJ2),8.4-AJ54,8.4-AJ54)))</f>
        <v>1.7763568394002505E-15</v>
      </c>
      <c r="AJ54" s="636">
        <f>AJ2*24</f>
        <v>8.3999999999999986</v>
      </c>
      <c r="AK54" s="643"/>
    </row>
    <row r="55" spans="1:37" s="696" customFormat="1" ht="9" x14ac:dyDescent="0.15">
      <c r="A55" s="639">
        <f t="shared" si="25"/>
        <v>2</v>
      </c>
      <c r="B55" s="640">
        <f t="shared" si="26"/>
        <v>8.4</v>
      </c>
      <c r="C55" s="636">
        <f t="shared" ref="C55:C84" si="49">C3*24</f>
        <v>0</v>
      </c>
      <c r="D55" s="641">
        <f t="shared" si="27"/>
        <v>2</v>
      </c>
      <c r="E55" s="640">
        <f t="shared" si="28"/>
        <v>0</v>
      </c>
      <c r="F55" s="636">
        <f t="shared" ref="F55:F82" si="50">F3*24</f>
        <v>0</v>
      </c>
      <c r="G55" s="641">
        <f t="shared" si="29"/>
        <v>2</v>
      </c>
      <c r="H55" s="640">
        <f t="shared" si="30"/>
        <v>0</v>
      </c>
      <c r="I55" s="636">
        <f t="shared" ref="I55:I84" si="51">I3*24</f>
        <v>0</v>
      </c>
      <c r="J55" s="641">
        <f t="shared" si="31"/>
        <v>2</v>
      </c>
      <c r="K55" s="640">
        <f t="shared" si="32"/>
        <v>1.7763568394002505E-15</v>
      </c>
      <c r="L55" s="636">
        <f t="shared" ref="L55:L83" si="52">L3*24</f>
        <v>8.3999999999999986</v>
      </c>
      <c r="M55" s="641">
        <f t="shared" si="33"/>
        <v>2</v>
      </c>
      <c r="N55" s="640">
        <f t="shared" si="34"/>
        <v>1.7763568394002505E-15</v>
      </c>
      <c r="O55" s="636">
        <f t="shared" ref="O55:O84" si="53">O3*24</f>
        <v>8.3999999999999986</v>
      </c>
      <c r="P55" s="641">
        <f t="shared" si="35"/>
        <v>2</v>
      </c>
      <c r="Q55" s="640">
        <f t="shared" si="36"/>
        <v>1.7763568394002505E-15</v>
      </c>
      <c r="R55" s="636">
        <f t="shared" ref="R55:R83" si="54">R3*24</f>
        <v>8.3999999999999986</v>
      </c>
      <c r="S55" s="641">
        <f t="shared" si="37"/>
        <v>2</v>
      </c>
      <c r="T55" s="640">
        <f t="shared" si="38"/>
        <v>1.7763568394002505E-15</v>
      </c>
      <c r="U55" s="636">
        <f t="shared" ref="U55:U84" si="55">U3*24</f>
        <v>8.3999999999999986</v>
      </c>
      <c r="V55" s="641">
        <f t="shared" si="39"/>
        <v>2</v>
      </c>
      <c r="W55" s="640">
        <f t="shared" si="40"/>
        <v>0</v>
      </c>
      <c r="X55" s="636">
        <f t="shared" ref="X55:X84" si="56">X3*24</f>
        <v>0</v>
      </c>
      <c r="Y55" s="641">
        <f t="shared" si="41"/>
        <v>2</v>
      </c>
      <c r="Z55" s="640">
        <f t="shared" si="42"/>
        <v>1.7763568394002505E-15</v>
      </c>
      <c r="AA55" s="636">
        <f t="shared" ref="AA55:AA83" si="57">AA3*24</f>
        <v>8.3999999999999986</v>
      </c>
      <c r="AB55" s="641">
        <f t="shared" si="43"/>
        <v>2</v>
      </c>
      <c r="AC55" s="640">
        <f t="shared" si="44"/>
        <v>1.7763568394002505E-15</v>
      </c>
      <c r="AD55" s="636">
        <f t="shared" ref="AD55:AD84" si="58">AD3*24</f>
        <v>8.3999999999999986</v>
      </c>
      <c r="AE55" s="641">
        <f t="shared" si="45"/>
        <v>2</v>
      </c>
      <c r="AF55" s="640">
        <f t="shared" si="46"/>
        <v>0</v>
      </c>
      <c r="AG55" s="636">
        <f t="shared" ref="AG55:AG83" si="59">AG3*24</f>
        <v>0</v>
      </c>
      <c r="AH55" s="642">
        <f t="shared" si="47"/>
        <v>2</v>
      </c>
      <c r="AI55" s="640">
        <f t="shared" si="48"/>
        <v>1.7763568394002505E-15</v>
      </c>
      <c r="AJ55" s="636">
        <f t="shared" ref="AJ55:AJ84" si="60">AJ3*24</f>
        <v>8.3999999999999986</v>
      </c>
      <c r="AK55" s="643"/>
    </row>
    <row r="56" spans="1:37" s="696" customFormat="1" ht="9" x14ac:dyDescent="0.15">
      <c r="A56" s="639">
        <f t="shared" si="25"/>
        <v>3</v>
      </c>
      <c r="B56" s="640">
        <f t="shared" si="26"/>
        <v>1.7763568394002505E-15</v>
      </c>
      <c r="C56" s="636">
        <f t="shared" si="49"/>
        <v>8.3999999999999986</v>
      </c>
      <c r="D56" s="641">
        <f t="shared" si="27"/>
        <v>3</v>
      </c>
      <c r="E56" s="640">
        <f t="shared" si="28"/>
        <v>0</v>
      </c>
      <c r="F56" s="636">
        <f t="shared" si="50"/>
        <v>0</v>
      </c>
      <c r="G56" s="641">
        <f t="shared" si="29"/>
        <v>3</v>
      </c>
      <c r="H56" s="640">
        <f t="shared" si="30"/>
        <v>1.7763568394002505E-15</v>
      </c>
      <c r="I56" s="636">
        <f t="shared" si="51"/>
        <v>8.3999999999999986</v>
      </c>
      <c r="J56" s="641">
        <f t="shared" si="31"/>
        <v>3</v>
      </c>
      <c r="K56" s="640">
        <f t="shared" si="32"/>
        <v>1.7763568394002505E-15</v>
      </c>
      <c r="L56" s="636">
        <f t="shared" si="52"/>
        <v>8.3999999999999986</v>
      </c>
      <c r="M56" s="641">
        <f t="shared" si="33"/>
        <v>3</v>
      </c>
      <c r="N56" s="640">
        <f t="shared" si="34"/>
        <v>0</v>
      </c>
      <c r="O56" s="636">
        <f t="shared" si="53"/>
        <v>0</v>
      </c>
      <c r="P56" s="641">
        <f t="shared" si="35"/>
        <v>3</v>
      </c>
      <c r="Q56" s="640">
        <f t="shared" si="36"/>
        <v>1.7763568394002505E-15</v>
      </c>
      <c r="R56" s="636">
        <f t="shared" si="54"/>
        <v>8.3999999999999986</v>
      </c>
      <c r="S56" s="641">
        <f t="shared" si="37"/>
        <v>3</v>
      </c>
      <c r="T56" s="640">
        <f t="shared" si="38"/>
        <v>1.7763568394002505E-15</v>
      </c>
      <c r="U56" s="636">
        <f t="shared" si="55"/>
        <v>8.3999999999999986</v>
      </c>
      <c r="V56" s="641">
        <f t="shared" si="39"/>
        <v>3</v>
      </c>
      <c r="W56" s="640">
        <f t="shared" si="40"/>
        <v>0</v>
      </c>
      <c r="X56" s="636">
        <f t="shared" si="56"/>
        <v>0</v>
      </c>
      <c r="Y56" s="641">
        <f t="shared" si="41"/>
        <v>3</v>
      </c>
      <c r="Z56" s="640">
        <f t="shared" si="42"/>
        <v>1.7763568394002505E-15</v>
      </c>
      <c r="AA56" s="636">
        <f t="shared" si="57"/>
        <v>8.3999999999999986</v>
      </c>
      <c r="AB56" s="641">
        <f t="shared" si="43"/>
        <v>3</v>
      </c>
      <c r="AC56" s="640">
        <f t="shared" si="44"/>
        <v>1.7763568394002505E-15</v>
      </c>
      <c r="AD56" s="636">
        <f t="shared" si="58"/>
        <v>8.3999999999999986</v>
      </c>
      <c r="AE56" s="641">
        <f t="shared" si="45"/>
        <v>3</v>
      </c>
      <c r="AF56" s="640">
        <f t="shared" si="46"/>
        <v>1.7763568394002505E-15</v>
      </c>
      <c r="AG56" s="636">
        <f t="shared" si="59"/>
        <v>8.3999999999999986</v>
      </c>
      <c r="AH56" s="642">
        <f t="shared" si="47"/>
        <v>3</v>
      </c>
      <c r="AI56" s="640">
        <f t="shared" si="48"/>
        <v>1.7763568394002505E-15</v>
      </c>
      <c r="AJ56" s="636">
        <f t="shared" si="60"/>
        <v>8.3999999999999986</v>
      </c>
      <c r="AK56" s="643"/>
    </row>
    <row r="57" spans="1:37" s="696" customFormat="1" ht="9" x14ac:dyDescent="0.15">
      <c r="A57" s="639">
        <f t="shared" si="25"/>
        <v>4</v>
      </c>
      <c r="B57" s="640">
        <f t="shared" si="26"/>
        <v>1.7763568394002505E-15</v>
      </c>
      <c r="C57" s="636">
        <f t="shared" si="49"/>
        <v>8.3999999999999986</v>
      </c>
      <c r="D57" s="641">
        <f t="shared" si="27"/>
        <v>4</v>
      </c>
      <c r="E57" s="640">
        <f t="shared" si="28"/>
        <v>1.7763568394002505E-15</v>
      </c>
      <c r="F57" s="636">
        <f t="shared" si="50"/>
        <v>8.3999999999999986</v>
      </c>
      <c r="G57" s="641">
        <f t="shared" si="29"/>
        <v>4</v>
      </c>
      <c r="H57" s="640">
        <f t="shared" si="30"/>
        <v>1.7763568394002505E-15</v>
      </c>
      <c r="I57" s="636">
        <f t="shared" si="51"/>
        <v>8.3999999999999986</v>
      </c>
      <c r="J57" s="641">
        <f t="shared" si="31"/>
        <v>4</v>
      </c>
      <c r="K57" s="640">
        <f t="shared" si="32"/>
        <v>1.7763568394002505E-15</v>
      </c>
      <c r="L57" s="636">
        <f t="shared" si="52"/>
        <v>8.3999999999999986</v>
      </c>
      <c r="M57" s="641">
        <f t="shared" si="33"/>
        <v>4</v>
      </c>
      <c r="N57" s="640">
        <f t="shared" si="34"/>
        <v>0</v>
      </c>
      <c r="O57" s="636">
        <f t="shared" si="53"/>
        <v>0</v>
      </c>
      <c r="P57" s="641">
        <f t="shared" si="35"/>
        <v>4</v>
      </c>
      <c r="Q57" s="640">
        <f t="shared" si="36"/>
        <v>1.7763568394002505E-15</v>
      </c>
      <c r="R57" s="636">
        <f t="shared" si="54"/>
        <v>8.3999999999999986</v>
      </c>
      <c r="S57" s="641">
        <f t="shared" si="37"/>
        <v>4</v>
      </c>
      <c r="T57" s="640">
        <f t="shared" si="38"/>
        <v>1.7763568394002505E-15</v>
      </c>
      <c r="U57" s="636">
        <f t="shared" si="55"/>
        <v>8.3999999999999986</v>
      </c>
      <c r="V57" s="641">
        <f t="shared" si="39"/>
        <v>4</v>
      </c>
      <c r="W57" s="640">
        <f t="shared" si="40"/>
        <v>1.7763568394002505E-15</v>
      </c>
      <c r="X57" s="636">
        <f t="shared" si="56"/>
        <v>8.3999999999999986</v>
      </c>
      <c r="Y57" s="641">
        <f t="shared" si="41"/>
        <v>4</v>
      </c>
      <c r="Z57" s="640">
        <f t="shared" si="42"/>
        <v>1.7763568394002505E-15</v>
      </c>
      <c r="AA57" s="636">
        <f t="shared" si="57"/>
        <v>8.3999999999999986</v>
      </c>
      <c r="AB57" s="641">
        <f t="shared" si="43"/>
        <v>4</v>
      </c>
      <c r="AC57" s="640">
        <f t="shared" si="44"/>
        <v>0</v>
      </c>
      <c r="AD57" s="636">
        <f t="shared" si="58"/>
        <v>0</v>
      </c>
      <c r="AE57" s="641">
        <f t="shared" si="45"/>
        <v>4</v>
      </c>
      <c r="AF57" s="640">
        <f t="shared" si="46"/>
        <v>1.7763568394002505E-15</v>
      </c>
      <c r="AG57" s="636">
        <f t="shared" si="59"/>
        <v>8.3999999999999986</v>
      </c>
      <c r="AH57" s="642">
        <f t="shared" si="47"/>
        <v>4</v>
      </c>
      <c r="AI57" s="640">
        <f t="shared" si="48"/>
        <v>1.7763568394002505E-15</v>
      </c>
      <c r="AJ57" s="636">
        <f t="shared" si="60"/>
        <v>8.3999999999999986</v>
      </c>
      <c r="AK57" s="643"/>
    </row>
    <row r="58" spans="1:37" s="696" customFormat="1" ht="9" x14ac:dyDescent="0.15">
      <c r="A58" s="639">
        <f t="shared" si="25"/>
        <v>5</v>
      </c>
      <c r="B58" s="640">
        <f t="shared" si="26"/>
        <v>0</v>
      </c>
      <c r="C58" s="636">
        <f t="shared" si="49"/>
        <v>0</v>
      </c>
      <c r="D58" s="641">
        <f t="shared" si="27"/>
        <v>5</v>
      </c>
      <c r="E58" s="640">
        <f t="shared" si="28"/>
        <v>1.7763568394002505E-15</v>
      </c>
      <c r="F58" s="636">
        <f t="shared" si="50"/>
        <v>8.3999999999999986</v>
      </c>
      <c r="G58" s="641">
        <f t="shared" si="29"/>
        <v>5</v>
      </c>
      <c r="H58" s="640">
        <f t="shared" si="30"/>
        <v>1.7763568394002505E-15</v>
      </c>
      <c r="I58" s="636">
        <f t="shared" si="51"/>
        <v>8.3999999999999986</v>
      </c>
      <c r="J58" s="641">
        <f t="shared" si="31"/>
        <v>5</v>
      </c>
      <c r="K58" s="640">
        <f t="shared" si="32"/>
        <v>0</v>
      </c>
      <c r="L58" s="636">
        <f t="shared" si="52"/>
        <v>0</v>
      </c>
      <c r="M58" s="641">
        <f t="shared" si="33"/>
        <v>5</v>
      </c>
      <c r="N58" s="640">
        <f t="shared" si="34"/>
        <v>1.7763568394002505E-15</v>
      </c>
      <c r="O58" s="636">
        <f t="shared" si="53"/>
        <v>8.3999999999999986</v>
      </c>
      <c r="P58" s="641">
        <f t="shared" si="35"/>
        <v>5</v>
      </c>
      <c r="Q58" s="640">
        <f t="shared" si="36"/>
        <v>1.7763568394002505E-15</v>
      </c>
      <c r="R58" s="636">
        <f t="shared" si="54"/>
        <v>8.3999999999999986</v>
      </c>
      <c r="S58" s="641">
        <f t="shared" si="37"/>
        <v>5</v>
      </c>
      <c r="T58" s="640">
        <f t="shared" si="38"/>
        <v>0</v>
      </c>
      <c r="U58" s="636">
        <f t="shared" si="55"/>
        <v>0</v>
      </c>
      <c r="V58" s="641">
        <f t="shared" si="39"/>
        <v>5</v>
      </c>
      <c r="W58" s="640">
        <f t="shared" si="40"/>
        <v>1.7763568394002505E-15</v>
      </c>
      <c r="X58" s="636">
        <f t="shared" si="56"/>
        <v>8.3999999999999986</v>
      </c>
      <c r="Y58" s="641">
        <f t="shared" si="41"/>
        <v>5</v>
      </c>
      <c r="Z58" s="640">
        <f t="shared" si="42"/>
        <v>1.7763568394002505E-15</v>
      </c>
      <c r="AA58" s="636">
        <f t="shared" si="57"/>
        <v>8.3999999999999986</v>
      </c>
      <c r="AB58" s="641">
        <f t="shared" si="43"/>
        <v>5</v>
      </c>
      <c r="AC58" s="640">
        <f t="shared" si="44"/>
        <v>0</v>
      </c>
      <c r="AD58" s="636">
        <f t="shared" si="58"/>
        <v>0</v>
      </c>
      <c r="AE58" s="641">
        <f t="shared" si="45"/>
        <v>5</v>
      </c>
      <c r="AF58" s="640">
        <f t="shared" si="46"/>
        <v>1.7763568394002505E-15</v>
      </c>
      <c r="AG58" s="636">
        <f t="shared" si="59"/>
        <v>8.3999999999999986</v>
      </c>
      <c r="AH58" s="642">
        <f t="shared" si="47"/>
        <v>5</v>
      </c>
      <c r="AI58" s="640">
        <f t="shared" si="48"/>
        <v>1.7763568394002505E-15</v>
      </c>
      <c r="AJ58" s="636">
        <f t="shared" si="60"/>
        <v>8.3999999999999986</v>
      </c>
      <c r="AK58" s="643"/>
    </row>
    <row r="59" spans="1:37" s="696" customFormat="1" ht="9" x14ac:dyDescent="0.15">
      <c r="A59" s="639">
        <f t="shared" si="25"/>
        <v>6</v>
      </c>
      <c r="B59" s="640">
        <f t="shared" si="26"/>
        <v>0</v>
      </c>
      <c r="C59" s="636">
        <f t="shared" si="49"/>
        <v>0</v>
      </c>
      <c r="D59" s="641">
        <f t="shared" si="27"/>
        <v>6</v>
      </c>
      <c r="E59" s="640">
        <f t="shared" si="28"/>
        <v>1.7763568394002505E-15</v>
      </c>
      <c r="F59" s="636">
        <f t="shared" si="50"/>
        <v>8.3999999999999986</v>
      </c>
      <c r="G59" s="641">
        <f t="shared" si="29"/>
        <v>6</v>
      </c>
      <c r="H59" s="640">
        <f t="shared" si="30"/>
        <v>1.7763568394002505E-15</v>
      </c>
      <c r="I59" s="636">
        <f t="shared" si="51"/>
        <v>8.3999999999999986</v>
      </c>
      <c r="J59" s="641">
        <f t="shared" si="31"/>
        <v>6</v>
      </c>
      <c r="K59" s="640">
        <f t="shared" si="32"/>
        <v>0</v>
      </c>
      <c r="L59" s="636">
        <f t="shared" si="52"/>
        <v>0</v>
      </c>
      <c r="M59" s="641">
        <f t="shared" si="33"/>
        <v>6</v>
      </c>
      <c r="N59" s="640">
        <f t="shared" si="34"/>
        <v>1.7763568394002505E-15</v>
      </c>
      <c r="O59" s="636">
        <f t="shared" si="53"/>
        <v>8.3999999999999986</v>
      </c>
      <c r="P59" s="641">
        <f t="shared" si="35"/>
        <v>6</v>
      </c>
      <c r="Q59" s="640">
        <f t="shared" si="36"/>
        <v>1.7763568394002505E-15</v>
      </c>
      <c r="R59" s="636">
        <f t="shared" si="54"/>
        <v>8.3999999999999986</v>
      </c>
      <c r="S59" s="641">
        <f t="shared" si="37"/>
        <v>6</v>
      </c>
      <c r="T59" s="640">
        <f t="shared" si="38"/>
        <v>0</v>
      </c>
      <c r="U59" s="636">
        <f t="shared" si="55"/>
        <v>0</v>
      </c>
      <c r="V59" s="641">
        <f t="shared" si="39"/>
        <v>6</v>
      </c>
      <c r="W59" s="640">
        <f t="shared" si="40"/>
        <v>1.7763568394002505E-15</v>
      </c>
      <c r="X59" s="636">
        <f t="shared" si="56"/>
        <v>8.3999999999999986</v>
      </c>
      <c r="Y59" s="641">
        <f t="shared" si="41"/>
        <v>6</v>
      </c>
      <c r="Z59" s="640">
        <f t="shared" si="42"/>
        <v>0</v>
      </c>
      <c r="AA59" s="636">
        <f t="shared" si="57"/>
        <v>0</v>
      </c>
      <c r="AB59" s="641">
        <f t="shared" si="43"/>
        <v>6</v>
      </c>
      <c r="AC59" s="640">
        <f t="shared" si="44"/>
        <v>1.7763568394002505E-15</v>
      </c>
      <c r="AD59" s="636">
        <f t="shared" si="58"/>
        <v>8.3999999999999986</v>
      </c>
      <c r="AE59" s="641">
        <f t="shared" si="45"/>
        <v>6</v>
      </c>
      <c r="AF59" s="640">
        <f t="shared" si="46"/>
        <v>1.7763568394002505E-15</v>
      </c>
      <c r="AG59" s="636">
        <f t="shared" si="59"/>
        <v>8.3999999999999986</v>
      </c>
      <c r="AH59" s="642">
        <f t="shared" si="47"/>
        <v>6</v>
      </c>
      <c r="AI59" s="640">
        <f t="shared" si="48"/>
        <v>0</v>
      </c>
      <c r="AJ59" s="636">
        <f t="shared" si="60"/>
        <v>0</v>
      </c>
      <c r="AK59" s="643"/>
    </row>
    <row r="60" spans="1:37" s="696" customFormat="1" ht="9" x14ac:dyDescent="0.15">
      <c r="A60" s="639">
        <f t="shared" si="25"/>
        <v>7</v>
      </c>
      <c r="B60" s="640">
        <f t="shared" si="26"/>
        <v>1.7763568394002505E-15</v>
      </c>
      <c r="C60" s="636">
        <f t="shared" si="49"/>
        <v>8.3999999999999986</v>
      </c>
      <c r="D60" s="641">
        <f t="shared" si="27"/>
        <v>7</v>
      </c>
      <c r="E60" s="640">
        <f t="shared" si="28"/>
        <v>1.7763568394002505E-15</v>
      </c>
      <c r="F60" s="636">
        <f t="shared" si="50"/>
        <v>8.3999999999999986</v>
      </c>
      <c r="G60" s="641">
        <f t="shared" si="29"/>
        <v>7</v>
      </c>
      <c r="H60" s="640">
        <f t="shared" si="30"/>
        <v>1.7763568394002505E-15</v>
      </c>
      <c r="I60" s="636">
        <f t="shared" si="51"/>
        <v>8.3999999999999986</v>
      </c>
      <c r="J60" s="641">
        <f t="shared" si="31"/>
        <v>7</v>
      </c>
      <c r="K60" s="640">
        <f t="shared" si="32"/>
        <v>1.7763568394002505E-15</v>
      </c>
      <c r="L60" s="636">
        <f t="shared" si="52"/>
        <v>8.3999999999999986</v>
      </c>
      <c r="M60" s="641">
        <f t="shared" si="33"/>
        <v>7</v>
      </c>
      <c r="N60" s="640">
        <f t="shared" si="34"/>
        <v>1.7763568394002505E-15</v>
      </c>
      <c r="O60" s="636">
        <f t="shared" si="53"/>
        <v>8.3999999999999986</v>
      </c>
      <c r="P60" s="641">
        <f t="shared" si="35"/>
        <v>7</v>
      </c>
      <c r="Q60" s="640">
        <f t="shared" si="36"/>
        <v>0</v>
      </c>
      <c r="R60" s="636">
        <f t="shared" si="54"/>
        <v>0</v>
      </c>
      <c r="S60" s="641">
        <f t="shared" si="37"/>
        <v>7</v>
      </c>
      <c r="T60" s="640">
        <f t="shared" si="38"/>
        <v>1.7763568394002505E-15</v>
      </c>
      <c r="U60" s="636">
        <f t="shared" si="55"/>
        <v>8.3999999999999986</v>
      </c>
      <c r="V60" s="641">
        <f t="shared" si="39"/>
        <v>7</v>
      </c>
      <c r="W60" s="640">
        <f t="shared" si="40"/>
        <v>1.7763568394002505E-15</v>
      </c>
      <c r="X60" s="636">
        <f t="shared" si="56"/>
        <v>8.3999999999999986</v>
      </c>
      <c r="Y60" s="641">
        <f t="shared" si="41"/>
        <v>7</v>
      </c>
      <c r="Z60" s="640">
        <f t="shared" si="42"/>
        <v>0</v>
      </c>
      <c r="AA60" s="636">
        <f t="shared" si="57"/>
        <v>0</v>
      </c>
      <c r="AB60" s="641">
        <f t="shared" si="43"/>
        <v>7</v>
      </c>
      <c r="AC60" s="640">
        <f t="shared" si="44"/>
        <v>1.7763568394002505E-15</v>
      </c>
      <c r="AD60" s="636">
        <f t="shared" si="58"/>
        <v>8.3999999999999986</v>
      </c>
      <c r="AE60" s="641">
        <f t="shared" si="45"/>
        <v>7</v>
      </c>
      <c r="AF60" s="640">
        <f t="shared" si="46"/>
        <v>1.7763568394002505E-15</v>
      </c>
      <c r="AG60" s="636">
        <f t="shared" si="59"/>
        <v>8.3999999999999986</v>
      </c>
      <c r="AH60" s="642">
        <f t="shared" si="47"/>
        <v>7</v>
      </c>
      <c r="AI60" s="640">
        <f t="shared" si="48"/>
        <v>0</v>
      </c>
      <c r="AJ60" s="636">
        <f t="shared" si="60"/>
        <v>0</v>
      </c>
      <c r="AK60" s="643"/>
    </row>
    <row r="61" spans="1:37" s="696" customFormat="1" ht="9" x14ac:dyDescent="0.15">
      <c r="A61" s="639">
        <f t="shared" si="25"/>
        <v>8</v>
      </c>
      <c r="B61" s="640">
        <f t="shared" si="26"/>
        <v>1.7763568394002505E-15</v>
      </c>
      <c r="C61" s="636">
        <f t="shared" si="49"/>
        <v>8.3999999999999986</v>
      </c>
      <c r="D61" s="641">
        <f t="shared" si="27"/>
        <v>8</v>
      </c>
      <c r="E61" s="640">
        <f t="shared" si="28"/>
        <v>1.7763568394002505E-15</v>
      </c>
      <c r="F61" s="636">
        <f t="shared" si="50"/>
        <v>8.3999999999999986</v>
      </c>
      <c r="G61" s="641">
        <f t="shared" si="29"/>
        <v>8</v>
      </c>
      <c r="H61" s="640">
        <f t="shared" si="30"/>
        <v>0</v>
      </c>
      <c r="I61" s="636">
        <f t="shared" si="51"/>
        <v>0</v>
      </c>
      <c r="J61" s="641">
        <f t="shared" si="31"/>
        <v>8</v>
      </c>
      <c r="K61" s="640">
        <f t="shared" si="32"/>
        <v>1.7763568394002505E-15</v>
      </c>
      <c r="L61" s="636">
        <f t="shared" si="52"/>
        <v>8.3999999999999986</v>
      </c>
      <c r="M61" s="641">
        <f t="shared" si="33"/>
        <v>8</v>
      </c>
      <c r="N61" s="640">
        <f t="shared" si="34"/>
        <v>1.7763568394002505E-15</v>
      </c>
      <c r="O61" s="636">
        <f t="shared" si="53"/>
        <v>8.3999999999999986</v>
      </c>
      <c r="P61" s="641">
        <f t="shared" si="35"/>
        <v>8</v>
      </c>
      <c r="Q61" s="640">
        <f t="shared" si="36"/>
        <v>0</v>
      </c>
      <c r="R61" s="636">
        <f t="shared" si="54"/>
        <v>0</v>
      </c>
      <c r="S61" s="641">
        <f t="shared" si="37"/>
        <v>8</v>
      </c>
      <c r="T61" s="640">
        <f t="shared" si="38"/>
        <v>1.7763568394002505E-15</v>
      </c>
      <c r="U61" s="636">
        <f t="shared" si="55"/>
        <v>8.3999999999999986</v>
      </c>
      <c r="V61" s="641">
        <f t="shared" si="39"/>
        <v>8</v>
      </c>
      <c r="W61" s="640">
        <f t="shared" si="40"/>
        <v>1.7763568394002505E-15</v>
      </c>
      <c r="X61" s="636">
        <f t="shared" si="56"/>
        <v>8.3999999999999986</v>
      </c>
      <c r="Y61" s="641">
        <f t="shared" si="41"/>
        <v>8</v>
      </c>
      <c r="Z61" s="640">
        <f t="shared" si="42"/>
        <v>1.7763568394002505E-15</v>
      </c>
      <c r="AA61" s="636">
        <f t="shared" si="57"/>
        <v>8.3999999999999986</v>
      </c>
      <c r="AB61" s="641">
        <f t="shared" si="43"/>
        <v>8</v>
      </c>
      <c r="AC61" s="640">
        <f t="shared" si="44"/>
        <v>1.7763568394002505E-15</v>
      </c>
      <c r="AD61" s="636">
        <f t="shared" si="58"/>
        <v>8.3999999999999986</v>
      </c>
      <c r="AE61" s="641">
        <f t="shared" si="45"/>
        <v>8</v>
      </c>
      <c r="AF61" s="640">
        <f t="shared" si="46"/>
        <v>0</v>
      </c>
      <c r="AG61" s="636">
        <f t="shared" si="59"/>
        <v>0</v>
      </c>
      <c r="AH61" s="642">
        <f t="shared" si="47"/>
        <v>8</v>
      </c>
      <c r="AI61" s="640">
        <f t="shared" si="48"/>
        <v>1.7763568394002505E-15</v>
      </c>
      <c r="AJ61" s="636">
        <f t="shared" si="60"/>
        <v>8.3999999999999986</v>
      </c>
      <c r="AK61" s="643"/>
    </row>
    <row r="62" spans="1:37" s="696" customFormat="1" ht="9" x14ac:dyDescent="0.15">
      <c r="A62" s="639">
        <f t="shared" si="25"/>
        <v>9</v>
      </c>
      <c r="B62" s="640">
        <f t="shared" si="26"/>
        <v>1.7763568394002505E-15</v>
      </c>
      <c r="C62" s="636">
        <f t="shared" si="49"/>
        <v>8.3999999999999986</v>
      </c>
      <c r="D62" s="641">
        <f t="shared" si="27"/>
        <v>9</v>
      </c>
      <c r="E62" s="640">
        <f t="shared" si="28"/>
        <v>0</v>
      </c>
      <c r="F62" s="636">
        <f t="shared" si="50"/>
        <v>0</v>
      </c>
      <c r="G62" s="641">
        <f t="shared" si="29"/>
        <v>9</v>
      </c>
      <c r="H62" s="640">
        <f t="shared" si="30"/>
        <v>0</v>
      </c>
      <c r="I62" s="636">
        <f t="shared" si="51"/>
        <v>0</v>
      </c>
      <c r="J62" s="641">
        <f t="shared" si="31"/>
        <v>9</v>
      </c>
      <c r="K62" s="640">
        <f t="shared" si="32"/>
        <v>1.7763568394002505E-15</v>
      </c>
      <c r="L62" s="636">
        <f t="shared" si="52"/>
        <v>8.3999999999999986</v>
      </c>
      <c r="M62" s="641">
        <f t="shared" si="33"/>
        <v>9</v>
      </c>
      <c r="N62" s="640">
        <f t="shared" si="34"/>
        <v>1.7763568394002505E-15</v>
      </c>
      <c r="O62" s="636">
        <f t="shared" si="53"/>
        <v>8.3999999999999986</v>
      </c>
      <c r="P62" s="641">
        <f t="shared" si="35"/>
        <v>9</v>
      </c>
      <c r="Q62" s="640">
        <f t="shared" si="36"/>
        <v>1.7763568394002505E-15</v>
      </c>
      <c r="R62" s="636">
        <f t="shared" si="54"/>
        <v>8.3999999999999986</v>
      </c>
      <c r="S62" s="641">
        <f t="shared" si="37"/>
        <v>9</v>
      </c>
      <c r="T62" s="640">
        <f t="shared" si="38"/>
        <v>1.7763568394002505E-15</v>
      </c>
      <c r="U62" s="636">
        <f t="shared" si="55"/>
        <v>8.3999999999999986</v>
      </c>
      <c r="V62" s="641">
        <f t="shared" si="39"/>
        <v>9</v>
      </c>
      <c r="W62" s="640">
        <f t="shared" si="40"/>
        <v>0</v>
      </c>
      <c r="X62" s="636">
        <f t="shared" si="56"/>
        <v>0</v>
      </c>
      <c r="Y62" s="641">
        <f t="shared" si="41"/>
        <v>9</v>
      </c>
      <c r="Z62" s="640">
        <f t="shared" si="42"/>
        <v>1.7763568394002505E-15</v>
      </c>
      <c r="AA62" s="636">
        <f t="shared" si="57"/>
        <v>8.3999999999999986</v>
      </c>
      <c r="AB62" s="641">
        <f t="shared" si="43"/>
        <v>9</v>
      </c>
      <c r="AC62" s="640">
        <f t="shared" si="44"/>
        <v>1.7763568394002505E-15</v>
      </c>
      <c r="AD62" s="636">
        <f t="shared" si="58"/>
        <v>8.3999999999999986</v>
      </c>
      <c r="AE62" s="641">
        <f t="shared" si="45"/>
        <v>9</v>
      </c>
      <c r="AF62" s="640">
        <f t="shared" si="46"/>
        <v>0</v>
      </c>
      <c r="AG62" s="636">
        <f t="shared" si="59"/>
        <v>0</v>
      </c>
      <c r="AH62" s="642">
        <f t="shared" si="47"/>
        <v>9</v>
      </c>
      <c r="AI62" s="640">
        <f t="shared" si="48"/>
        <v>1.7763568394002505E-15</v>
      </c>
      <c r="AJ62" s="636">
        <f t="shared" si="60"/>
        <v>8.3999999999999986</v>
      </c>
      <c r="AK62" s="643"/>
    </row>
    <row r="63" spans="1:37" s="696" customFormat="1" ht="9" x14ac:dyDescent="0.15">
      <c r="A63" s="639">
        <f t="shared" si="25"/>
        <v>10</v>
      </c>
      <c r="B63" s="640">
        <f t="shared" si="26"/>
        <v>1.7763568394002505E-15</v>
      </c>
      <c r="C63" s="636">
        <f t="shared" si="49"/>
        <v>8.3999999999999986</v>
      </c>
      <c r="D63" s="641">
        <f t="shared" si="27"/>
        <v>10</v>
      </c>
      <c r="E63" s="640">
        <f t="shared" si="28"/>
        <v>0</v>
      </c>
      <c r="F63" s="636">
        <f t="shared" si="50"/>
        <v>0</v>
      </c>
      <c r="G63" s="641">
        <f t="shared" si="29"/>
        <v>10</v>
      </c>
      <c r="H63" s="640">
        <f t="shared" si="30"/>
        <v>1.7763568394002505E-15</v>
      </c>
      <c r="I63" s="636">
        <f t="shared" si="51"/>
        <v>8.3999999999999986</v>
      </c>
      <c r="J63" s="641">
        <f t="shared" si="31"/>
        <v>10</v>
      </c>
      <c r="K63" s="640">
        <f t="shared" si="32"/>
        <v>1.7763568394002505E-15</v>
      </c>
      <c r="L63" s="636">
        <f t="shared" si="52"/>
        <v>8.3999999999999986</v>
      </c>
      <c r="M63" s="641">
        <f t="shared" si="33"/>
        <v>10</v>
      </c>
      <c r="N63" s="640">
        <f t="shared" si="34"/>
        <v>0</v>
      </c>
      <c r="O63" s="636">
        <f t="shared" si="53"/>
        <v>0</v>
      </c>
      <c r="P63" s="641">
        <f t="shared" si="35"/>
        <v>10</v>
      </c>
      <c r="Q63" s="640">
        <f t="shared" si="36"/>
        <v>1.7763568394002505E-15</v>
      </c>
      <c r="R63" s="636">
        <f t="shared" si="54"/>
        <v>8.3999999999999986</v>
      </c>
      <c r="S63" s="641">
        <f t="shared" si="37"/>
        <v>10</v>
      </c>
      <c r="T63" s="640">
        <f t="shared" si="38"/>
        <v>1.7763568394002505E-15</v>
      </c>
      <c r="U63" s="636">
        <f t="shared" si="55"/>
        <v>8.3999999999999986</v>
      </c>
      <c r="V63" s="641">
        <f t="shared" si="39"/>
        <v>10</v>
      </c>
      <c r="W63" s="640">
        <f t="shared" si="40"/>
        <v>0</v>
      </c>
      <c r="X63" s="636">
        <f t="shared" si="56"/>
        <v>0</v>
      </c>
      <c r="Y63" s="641">
        <f t="shared" si="41"/>
        <v>10</v>
      </c>
      <c r="Z63" s="640">
        <f t="shared" si="42"/>
        <v>1.7763568394002505E-15</v>
      </c>
      <c r="AA63" s="636">
        <f t="shared" si="57"/>
        <v>8.3999999999999986</v>
      </c>
      <c r="AB63" s="641">
        <f t="shared" si="43"/>
        <v>10</v>
      </c>
      <c r="AC63" s="640">
        <f t="shared" si="44"/>
        <v>1.7763568394002505E-15</v>
      </c>
      <c r="AD63" s="636">
        <f t="shared" si="58"/>
        <v>8.3999999999999986</v>
      </c>
      <c r="AE63" s="641">
        <f t="shared" si="45"/>
        <v>10</v>
      </c>
      <c r="AF63" s="640">
        <f t="shared" si="46"/>
        <v>1.7763568394002505E-15</v>
      </c>
      <c r="AG63" s="636">
        <f t="shared" si="59"/>
        <v>8.3999999999999986</v>
      </c>
      <c r="AH63" s="642">
        <f t="shared" si="47"/>
        <v>10</v>
      </c>
      <c r="AI63" s="640">
        <f t="shared" si="48"/>
        <v>1.7763568394002505E-15</v>
      </c>
      <c r="AJ63" s="636">
        <f t="shared" si="60"/>
        <v>8.3999999999999986</v>
      </c>
      <c r="AK63" s="643"/>
    </row>
    <row r="64" spans="1:37" s="696" customFormat="1" ht="9" x14ac:dyDescent="0.15">
      <c r="A64" s="639">
        <f t="shared" si="25"/>
        <v>11</v>
      </c>
      <c r="B64" s="640">
        <f t="shared" si="26"/>
        <v>1.7763568394002505E-15</v>
      </c>
      <c r="C64" s="636">
        <f t="shared" si="49"/>
        <v>8.3999999999999986</v>
      </c>
      <c r="D64" s="641">
        <f t="shared" si="27"/>
        <v>11</v>
      </c>
      <c r="E64" s="640">
        <f t="shared" si="28"/>
        <v>1.7763568394002505E-15</v>
      </c>
      <c r="F64" s="636">
        <f t="shared" si="50"/>
        <v>8.3999999999999986</v>
      </c>
      <c r="G64" s="641">
        <f t="shared" si="29"/>
        <v>11</v>
      </c>
      <c r="H64" s="640">
        <f t="shared" si="30"/>
        <v>1.7763568394002505E-15</v>
      </c>
      <c r="I64" s="636">
        <f t="shared" si="51"/>
        <v>8.3999999999999986</v>
      </c>
      <c r="J64" s="641">
        <f t="shared" si="31"/>
        <v>11</v>
      </c>
      <c r="K64" s="640">
        <f t="shared" si="32"/>
        <v>1.7763568394002505E-15</v>
      </c>
      <c r="L64" s="636">
        <f t="shared" si="52"/>
        <v>8.3999999999999986</v>
      </c>
      <c r="M64" s="641">
        <f t="shared" si="33"/>
        <v>11</v>
      </c>
      <c r="N64" s="640">
        <f t="shared" si="34"/>
        <v>0</v>
      </c>
      <c r="O64" s="636">
        <f t="shared" si="53"/>
        <v>0</v>
      </c>
      <c r="P64" s="641">
        <f t="shared" si="35"/>
        <v>11</v>
      </c>
      <c r="Q64" s="640">
        <f t="shared" si="36"/>
        <v>1.7763568394002505E-15</v>
      </c>
      <c r="R64" s="636">
        <f t="shared" si="54"/>
        <v>8.3999999999999986</v>
      </c>
      <c r="S64" s="641">
        <f t="shared" si="37"/>
        <v>11</v>
      </c>
      <c r="T64" s="640">
        <f t="shared" si="38"/>
        <v>1.7763568394002505E-15</v>
      </c>
      <c r="U64" s="636">
        <f t="shared" si="55"/>
        <v>8.3999999999999986</v>
      </c>
      <c r="V64" s="641">
        <f t="shared" si="39"/>
        <v>11</v>
      </c>
      <c r="W64" s="640">
        <f t="shared" si="40"/>
        <v>1.7763568394002505E-15</v>
      </c>
      <c r="X64" s="636">
        <f t="shared" si="56"/>
        <v>8.3999999999999986</v>
      </c>
      <c r="Y64" s="641">
        <f t="shared" si="41"/>
        <v>11</v>
      </c>
      <c r="Z64" s="640">
        <f t="shared" si="42"/>
        <v>1.7763568394002505E-15</v>
      </c>
      <c r="AA64" s="636">
        <f t="shared" si="57"/>
        <v>8.3999999999999986</v>
      </c>
      <c r="AB64" s="641">
        <f t="shared" si="43"/>
        <v>11</v>
      </c>
      <c r="AC64" s="640">
        <f t="shared" si="44"/>
        <v>0</v>
      </c>
      <c r="AD64" s="636">
        <f t="shared" si="58"/>
        <v>0</v>
      </c>
      <c r="AE64" s="641">
        <f t="shared" si="45"/>
        <v>11</v>
      </c>
      <c r="AF64" s="640">
        <f t="shared" si="46"/>
        <v>1.7763568394002505E-15</v>
      </c>
      <c r="AG64" s="636">
        <f t="shared" si="59"/>
        <v>8.3999999999999986</v>
      </c>
      <c r="AH64" s="642">
        <f t="shared" si="47"/>
        <v>11</v>
      </c>
      <c r="AI64" s="640">
        <f t="shared" si="48"/>
        <v>1.7763568394002505E-15</v>
      </c>
      <c r="AJ64" s="636">
        <f t="shared" si="60"/>
        <v>8.3999999999999986</v>
      </c>
      <c r="AK64" s="643"/>
    </row>
    <row r="65" spans="1:37" s="696" customFormat="1" ht="9" x14ac:dyDescent="0.15">
      <c r="A65" s="639">
        <f t="shared" si="25"/>
        <v>12</v>
      </c>
      <c r="B65" s="640">
        <f t="shared" si="26"/>
        <v>0</v>
      </c>
      <c r="C65" s="636">
        <f t="shared" si="49"/>
        <v>0</v>
      </c>
      <c r="D65" s="641">
        <f t="shared" si="27"/>
        <v>12</v>
      </c>
      <c r="E65" s="640">
        <f t="shared" si="28"/>
        <v>1.7763568394002505E-15</v>
      </c>
      <c r="F65" s="636">
        <f t="shared" si="50"/>
        <v>8.3999999999999986</v>
      </c>
      <c r="G65" s="641">
        <f t="shared" si="29"/>
        <v>12</v>
      </c>
      <c r="H65" s="640">
        <f t="shared" si="30"/>
        <v>1.7763568394002505E-15</v>
      </c>
      <c r="I65" s="636">
        <f t="shared" si="51"/>
        <v>8.3999999999999986</v>
      </c>
      <c r="J65" s="641">
        <f t="shared" si="31"/>
        <v>12</v>
      </c>
      <c r="K65" s="640">
        <f t="shared" si="32"/>
        <v>0</v>
      </c>
      <c r="L65" s="636">
        <f t="shared" si="52"/>
        <v>0</v>
      </c>
      <c r="M65" s="641">
        <f t="shared" si="33"/>
        <v>12</v>
      </c>
      <c r="N65" s="640">
        <f t="shared" si="34"/>
        <v>8.4</v>
      </c>
      <c r="O65" s="636">
        <f t="shared" si="53"/>
        <v>0</v>
      </c>
      <c r="P65" s="641">
        <f t="shared" si="35"/>
        <v>12</v>
      </c>
      <c r="Q65" s="640">
        <f t="shared" si="36"/>
        <v>1.7763568394002505E-15</v>
      </c>
      <c r="R65" s="636">
        <f t="shared" si="54"/>
        <v>8.3999999999999986</v>
      </c>
      <c r="S65" s="641">
        <f t="shared" si="37"/>
        <v>12</v>
      </c>
      <c r="T65" s="640">
        <f t="shared" si="38"/>
        <v>0</v>
      </c>
      <c r="U65" s="636">
        <f t="shared" si="55"/>
        <v>0</v>
      </c>
      <c r="V65" s="641">
        <f t="shared" si="39"/>
        <v>12</v>
      </c>
      <c r="W65" s="640">
        <f t="shared" si="40"/>
        <v>1.7763568394002505E-15</v>
      </c>
      <c r="X65" s="636">
        <f t="shared" si="56"/>
        <v>8.3999999999999986</v>
      </c>
      <c r="Y65" s="641">
        <f t="shared" si="41"/>
        <v>12</v>
      </c>
      <c r="Z65" s="640">
        <f t="shared" si="42"/>
        <v>1.7763568394002505E-15</v>
      </c>
      <c r="AA65" s="636">
        <f t="shared" si="57"/>
        <v>8.3999999999999986</v>
      </c>
      <c r="AB65" s="641">
        <f t="shared" si="43"/>
        <v>12</v>
      </c>
      <c r="AC65" s="640">
        <f t="shared" si="44"/>
        <v>0</v>
      </c>
      <c r="AD65" s="636">
        <f t="shared" si="58"/>
        <v>0</v>
      </c>
      <c r="AE65" s="641">
        <f t="shared" si="45"/>
        <v>12</v>
      </c>
      <c r="AF65" s="640">
        <f t="shared" si="46"/>
        <v>1.7763568394002505E-15</v>
      </c>
      <c r="AG65" s="636">
        <f t="shared" si="59"/>
        <v>8.3999999999999986</v>
      </c>
      <c r="AH65" s="642">
        <f t="shared" si="47"/>
        <v>12</v>
      </c>
      <c r="AI65" s="640">
        <f t="shared" si="48"/>
        <v>1.7763568394002505E-15</v>
      </c>
      <c r="AJ65" s="636">
        <f t="shared" si="60"/>
        <v>8.3999999999999986</v>
      </c>
      <c r="AK65" s="643"/>
    </row>
    <row r="66" spans="1:37" s="696" customFormat="1" ht="9" x14ac:dyDescent="0.15">
      <c r="A66" s="639">
        <f t="shared" si="25"/>
        <v>13</v>
      </c>
      <c r="B66" s="640">
        <f t="shared" si="26"/>
        <v>0</v>
      </c>
      <c r="C66" s="636">
        <f t="shared" si="49"/>
        <v>0</v>
      </c>
      <c r="D66" s="641">
        <f t="shared" si="27"/>
        <v>13</v>
      </c>
      <c r="E66" s="640">
        <f t="shared" si="28"/>
        <v>1.7763568394002505E-15</v>
      </c>
      <c r="F66" s="636">
        <f t="shared" si="50"/>
        <v>8.3999999999999986</v>
      </c>
      <c r="G66" s="641">
        <f t="shared" si="29"/>
        <v>13</v>
      </c>
      <c r="H66" s="640">
        <f t="shared" si="30"/>
        <v>1.7763568394002505E-15</v>
      </c>
      <c r="I66" s="636">
        <f t="shared" si="51"/>
        <v>8.3999999999999986</v>
      </c>
      <c r="J66" s="641">
        <f t="shared" si="31"/>
        <v>13</v>
      </c>
      <c r="K66" s="640">
        <f t="shared" si="32"/>
        <v>0</v>
      </c>
      <c r="L66" s="636">
        <f t="shared" si="52"/>
        <v>0</v>
      </c>
      <c r="M66" s="641">
        <f t="shared" si="33"/>
        <v>13</v>
      </c>
      <c r="N66" s="640">
        <f t="shared" si="34"/>
        <v>1.7763568394002505E-15</v>
      </c>
      <c r="O66" s="636">
        <f t="shared" si="53"/>
        <v>8.3999999999999986</v>
      </c>
      <c r="P66" s="641">
        <f t="shared" si="35"/>
        <v>13</v>
      </c>
      <c r="Q66" s="640">
        <f t="shared" si="36"/>
        <v>1.7763568394002505E-15</v>
      </c>
      <c r="R66" s="636">
        <f t="shared" si="54"/>
        <v>8.3999999999999986</v>
      </c>
      <c r="S66" s="641">
        <f t="shared" si="37"/>
        <v>13</v>
      </c>
      <c r="T66" s="640">
        <f t="shared" si="38"/>
        <v>0</v>
      </c>
      <c r="U66" s="636">
        <f t="shared" si="55"/>
        <v>0</v>
      </c>
      <c r="V66" s="641">
        <f t="shared" si="39"/>
        <v>13</v>
      </c>
      <c r="W66" s="640">
        <f t="shared" si="40"/>
        <v>1.7763568394002505E-15</v>
      </c>
      <c r="X66" s="636">
        <f t="shared" si="56"/>
        <v>8.3999999999999986</v>
      </c>
      <c r="Y66" s="641">
        <f t="shared" si="41"/>
        <v>13</v>
      </c>
      <c r="Z66" s="640">
        <f t="shared" si="42"/>
        <v>0</v>
      </c>
      <c r="AA66" s="636">
        <f t="shared" si="57"/>
        <v>0</v>
      </c>
      <c r="AB66" s="641">
        <f t="shared" si="43"/>
        <v>13</v>
      </c>
      <c r="AC66" s="640">
        <f t="shared" si="44"/>
        <v>1.7763568394002505E-15</v>
      </c>
      <c r="AD66" s="636">
        <f t="shared" si="58"/>
        <v>8.3999999999999986</v>
      </c>
      <c r="AE66" s="641">
        <f t="shared" si="45"/>
        <v>13</v>
      </c>
      <c r="AF66" s="640">
        <f t="shared" si="46"/>
        <v>1.7763568394002505E-15</v>
      </c>
      <c r="AG66" s="636">
        <f t="shared" si="59"/>
        <v>8.3999999999999986</v>
      </c>
      <c r="AH66" s="642">
        <f t="shared" si="47"/>
        <v>13</v>
      </c>
      <c r="AI66" s="640">
        <f t="shared" si="48"/>
        <v>0</v>
      </c>
      <c r="AJ66" s="636">
        <f t="shared" si="60"/>
        <v>0</v>
      </c>
      <c r="AK66" s="643"/>
    </row>
    <row r="67" spans="1:37" s="696" customFormat="1" ht="9" x14ac:dyDescent="0.15">
      <c r="A67" s="639">
        <f t="shared" si="25"/>
        <v>14</v>
      </c>
      <c r="B67" s="640">
        <f t="shared" si="26"/>
        <v>1.7763568394002505E-15</v>
      </c>
      <c r="C67" s="636">
        <f t="shared" si="49"/>
        <v>8.3999999999999986</v>
      </c>
      <c r="D67" s="641">
        <f t="shared" si="27"/>
        <v>14</v>
      </c>
      <c r="E67" s="640">
        <f t="shared" si="28"/>
        <v>1.7763568394002505E-15</v>
      </c>
      <c r="F67" s="636">
        <f t="shared" si="50"/>
        <v>8.3999999999999986</v>
      </c>
      <c r="G67" s="641">
        <f t="shared" si="29"/>
        <v>14</v>
      </c>
      <c r="H67" s="640">
        <f t="shared" si="30"/>
        <v>1.7763568394002505E-15</v>
      </c>
      <c r="I67" s="636">
        <f t="shared" si="51"/>
        <v>8.3999999999999986</v>
      </c>
      <c r="J67" s="641">
        <f t="shared" si="31"/>
        <v>14</v>
      </c>
      <c r="K67" s="640">
        <f t="shared" si="32"/>
        <v>1.7763568394002505E-15</v>
      </c>
      <c r="L67" s="636">
        <f t="shared" si="52"/>
        <v>8.3999999999999986</v>
      </c>
      <c r="M67" s="641">
        <f t="shared" si="33"/>
        <v>14</v>
      </c>
      <c r="N67" s="640">
        <f t="shared" si="34"/>
        <v>1.7763568394002505E-15</v>
      </c>
      <c r="O67" s="636">
        <f t="shared" si="53"/>
        <v>8.3999999999999986</v>
      </c>
      <c r="P67" s="641">
        <f t="shared" si="35"/>
        <v>14</v>
      </c>
      <c r="Q67" s="640">
        <f t="shared" si="36"/>
        <v>0</v>
      </c>
      <c r="R67" s="636">
        <f t="shared" si="54"/>
        <v>0</v>
      </c>
      <c r="S67" s="641">
        <f t="shared" si="37"/>
        <v>14</v>
      </c>
      <c r="T67" s="640">
        <f t="shared" si="38"/>
        <v>1.7763568394002505E-15</v>
      </c>
      <c r="U67" s="636">
        <f t="shared" si="55"/>
        <v>8.3999999999999986</v>
      </c>
      <c r="V67" s="641">
        <f t="shared" si="39"/>
        <v>14</v>
      </c>
      <c r="W67" s="640">
        <f t="shared" si="40"/>
        <v>1.7763568394002505E-15</v>
      </c>
      <c r="X67" s="636">
        <f t="shared" si="56"/>
        <v>8.3999999999999986</v>
      </c>
      <c r="Y67" s="641">
        <f t="shared" si="41"/>
        <v>14</v>
      </c>
      <c r="Z67" s="640">
        <f t="shared" si="42"/>
        <v>0</v>
      </c>
      <c r="AA67" s="636">
        <f t="shared" si="57"/>
        <v>0</v>
      </c>
      <c r="AB67" s="641">
        <f t="shared" si="43"/>
        <v>14</v>
      </c>
      <c r="AC67" s="640">
        <f t="shared" si="44"/>
        <v>1.7763568394002505E-15</v>
      </c>
      <c r="AD67" s="636">
        <f t="shared" si="58"/>
        <v>8.3999999999999986</v>
      </c>
      <c r="AE67" s="641">
        <f t="shared" si="45"/>
        <v>14</v>
      </c>
      <c r="AF67" s="640">
        <f t="shared" si="46"/>
        <v>1.7763568394002505E-15</v>
      </c>
      <c r="AG67" s="636">
        <f t="shared" si="59"/>
        <v>8.3999999999999986</v>
      </c>
      <c r="AH67" s="642">
        <f t="shared" si="47"/>
        <v>14</v>
      </c>
      <c r="AI67" s="640">
        <f t="shared" si="48"/>
        <v>0</v>
      </c>
      <c r="AJ67" s="636">
        <f t="shared" si="60"/>
        <v>0</v>
      </c>
      <c r="AK67" s="643"/>
    </row>
    <row r="68" spans="1:37" s="696" customFormat="1" ht="9" x14ac:dyDescent="0.15">
      <c r="A68" s="639">
        <f t="shared" si="25"/>
        <v>15</v>
      </c>
      <c r="B68" s="640">
        <f t="shared" si="26"/>
        <v>1.7763568394002505E-15</v>
      </c>
      <c r="C68" s="636">
        <f t="shared" si="49"/>
        <v>8.3999999999999986</v>
      </c>
      <c r="D68" s="641">
        <f t="shared" si="27"/>
        <v>15</v>
      </c>
      <c r="E68" s="640">
        <f t="shared" si="28"/>
        <v>1.7763568394002505E-15</v>
      </c>
      <c r="F68" s="636">
        <f t="shared" si="50"/>
        <v>8.3999999999999986</v>
      </c>
      <c r="G68" s="641">
        <f t="shared" si="29"/>
        <v>15</v>
      </c>
      <c r="H68" s="640">
        <f t="shared" si="30"/>
        <v>0</v>
      </c>
      <c r="I68" s="636">
        <f t="shared" si="51"/>
        <v>0</v>
      </c>
      <c r="J68" s="641">
        <f>J16</f>
        <v>15</v>
      </c>
      <c r="K68" s="640">
        <f t="shared" si="32"/>
        <v>1.7763568394002505E-15</v>
      </c>
      <c r="L68" s="636">
        <f>L16*24</f>
        <v>8.3999999999999986</v>
      </c>
      <c r="M68" s="641">
        <f>M16</f>
        <v>15</v>
      </c>
      <c r="N68" s="640">
        <f t="shared" si="34"/>
        <v>1.7763568394002505E-15</v>
      </c>
      <c r="O68" s="636">
        <f>O16*24</f>
        <v>8.3999999999999986</v>
      </c>
      <c r="P68" s="641">
        <f>P16</f>
        <v>15</v>
      </c>
      <c r="Q68" s="640">
        <f t="shared" si="36"/>
        <v>0</v>
      </c>
      <c r="R68" s="636">
        <f t="shared" si="54"/>
        <v>0</v>
      </c>
      <c r="S68" s="641">
        <f t="shared" si="37"/>
        <v>15</v>
      </c>
      <c r="T68" s="640">
        <f t="shared" si="38"/>
        <v>1.7763568394002505E-15</v>
      </c>
      <c r="U68" s="636">
        <f t="shared" si="55"/>
        <v>8.3999999999999986</v>
      </c>
      <c r="V68" s="641">
        <f t="shared" si="39"/>
        <v>15</v>
      </c>
      <c r="W68" s="640">
        <f t="shared" si="40"/>
        <v>1.7763568394002505E-15</v>
      </c>
      <c r="X68" s="636">
        <f t="shared" si="56"/>
        <v>8.3999999999999986</v>
      </c>
      <c r="Y68" s="641">
        <f t="shared" si="41"/>
        <v>15</v>
      </c>
      <c r="Z68" s="640">
        <f t="shared" si="42"/>
        <v>1.7763568394002505E-15</v>
      </c>
      <c r="AA68" s="636">
        <f t="shared" si="57"/>
        <v>8.3999999999999986</v>
      </c>
      <c r="AB68" s="641">
        <f t="shared" si="43"/>
        <v>15</v>
      </c>
      <c r="AC68" s="640">
        <f t="shared" si="44"/>
        <v>1.7763568394002505E-15</v>
      </c>
      <c r="AD68" s="636">
        <f t="shared" si="58"/>
        <v>8.3999999999999986</v>
      </c>
      <c r="AE68" s="641">
        <f t="shared" si="45"/>
        <v>15</v>
      </c>
      <c r="AF68" s="640">
        <f t="shared" si="46"/>
        <v>0</v>
      </c>
      <c r="AG68" s="636">
        <f t="shared" si="59"/>
        <v>0</v>
      </c>
      <c r="AH68" s="642">
        <f t="shared" si="47"/>
        <v>15</v>
      </c>
      <c r="AI68" s="640">
        <f t="shared" si="48"/>
        <v>1.7763568394002505E-15</v>
      </c>
      <c r="AJ68" s="636">
        <f t="shared" si="60"/>
        <v>8.3999999999999986</v>
      </c>
      <c r="AK68" s="643"/>
    </row>
    <row r="69" spans="1:37" s="696" customFormat="1" ht="9" x14ac:dyDescent="0.15">
      <c r="A69" s="639">
        <f t="shared" si="25"/>
        <v>16</v>
      </c>
      <c r="B69" s="640">
        <f t="shared" si="26"/>
        <v>1.7763568394002505E-15</v>
      </c>
      <c r="C69" s="636">
        <f t="shared" si="49"/>
        <v>8.3999999999999986</v>
      </c>
      <c r="D69" s="641">
        <f t="shared" si="27"/>
        <v>16</v>
      </c>
      <c r="E69" s="640">
        <f t="shared" si="28"/>
        <v>0</v>
      </c>
      <c r="F69" s="636">
        <f t="shared" si="50"/>
        <v>0</v>
      </c>
      <c r="G69" s="641">
        <f t="shared" si="29"/>
        <v>16</v>
      </c>
      <c r="H69" s="640">
        <f t="shared" si="30"/>
        <v>0</v>
      </c>
      <c r="I69" s="636">
        <f t="shared" si="51"/>
        <v>0</v>
      </c>
      <c r="J69" s="641">
        <f t="shared" si="31"/>
        <v>16</v>
      </c>
      <c r="K69" s="640">
        <f t="shared" si="32"/>
        <v>1.7763568394002505E-15</v>
      </c>
      <c r="L69" s="636">
        <f t="shared" si="52"/>
        <v>8.3999999999999986</v>
      </c>
      <c r="M69" s="641">
        <f t="shared" si="33"/>
        <v>16</v>
      </c>
      <c r="N69" s="640">
        <f t="shared" si="34"/>
        <v>1.7763568394002505E-15</v>
      </c>
      <c r="O69" s="636">
        <f t="shared" si="53"/>
        <v>8.3999999999999986</v>
      </c>
      <c r="P69" s="641">
        <f t="shared" si="35"/>
        <v>16</v>
      </c>
      <c r="Q69" s="640">
        <f t="shared" si="36"/>
        <v>1.7763568394002505E-15</v>
      </c>
      <c r="R69" s="636">
        <f t="shared" si="54"/>
        <v>8.3999999999999986</v>
      </c>
      <c r="S69" s="641">
        <f t="shared" si="37"/>
        <v>16</v>
      </c>
      <c r="T69" s="640">
        <f t="shared" si="38"/>
        <v>1.7763568394002505E-15</v>
      </c>
      <c r="U69" s="636">
        <f t="shared" si="55"/>
        <v>8.3999999999999986</v>
      </c>
      <c r="V69" s="641">
        <f t="shared" si="39"/>
        <v>16</v>
      </c>
      <c r="W69" s="640">
        <f t="shared" si="40"/>
        <v>0</v>
      </c>
      <c r="X69" s="636">
        <f t="shared" si="56"/>
        <v>0</v>
      </c>
      <c r="Y69" s="641">
        <f t="shared" si="41"/>
        <v>16</v>
      </c>
      <c r="Z69" s="640">
        <f t="shared" si="42"/>
        <v>1.7763568394002505E-15</v>
      </c>
      <c r="AA69" s="636">
        <f t="shared" si="57"/>
        <v>8.3999999999999986</v>
      </c>
      <c r="AB69" s="641">
        <f t="shared" si="43"/>
        <v>16</v>
      </c>
      <c r="AC69" s="640">
        <f t="shared" si="44"/>
        <v>1.7763568394002505E-15</v>
      </c>
      <c r="AD69" s="636">
        <f t="shared" si="58"/>
        <v>8.3999999999999986</v>
      </c>
      <c r="AE69" s="641">
        <f t="shared" si="45"/>
        <v>16</v>
      </c>
      <c r="AF69" s="640">
        <f t="shared" si="46"/>
        <v>0</v>
      </c>
      <c r="AG69" s="636">
        <f t="shared" si="59"/>
        <v>0</v>
      </c>
      <c r="AH69" s="642">
        <f t="shared" si="47"/>
        <v>16</v>
      </c>
      <c r="AI69" s="640">
        <f t="shared" si="48"/>
        <v>1.7763568394002505E-15</v>
      </c>
      <c r="AJ69" s="636">
        <f t="shared" si="60"/>
        <v>8.3999999999999986</v>
      </c>
      <c r="AK69" s="643"/>
    </row>
    <row r="70" spans="1:37" s="696" customFormat="1" ht="9" x14ac:dyDescent="0.15">
      <c r="A70" s="639">
        <f t="shared" si="25"/>
        <v>17</v>
      </c>
      <c r="B70" s="640">
        <f t="shared" si="26"/>
        <v>1.7763568394002505E-15</v>
      </c>
      <c r="C70" s="636">
        <f t="shared" si="49"/>
        <v>8.3999999999999986</v>
      </c>
      <c r="D70" s="641">
        <f t="shared" si="27"/>
        <v>17</v>
      </c>
      <c r="E70" s="640">
        <f t="shared" si="28"/>
        <v>0</v>
      </c>
      <c r="F70" s="636">
        <f t="shared" si="50"/>
        <v>0</v>
      </c>
      <c r="G70" s="641">
        <f t="shared" si="29"/>
        <v>17</v>
      </c>
      <c r="H70" s="640">
        <f t="shared" si="30"/>
        <v>1.7763568394002505E-15</v>
      </c>
      <c r="I70" s="636">
        <f t="shared" si="51"/>
        <v>8.3999999999999986</v>
      </c>
      <c r="J70" s="641">
        <f t="shared" si="31"/>
        <v>17</v>
      </c>
      <c r="K70" s="640">
        <f t="shared" si="32"/>
        <v>1.7763568394002505E-15</v>
      </c>
      <c r="L70" s="636">
        <f t="shared" si="52"/>
        <v>8.3999999999999986</v>
      </c>
      <c r="M70" s="641">
        <f t="shared" si="33"/>
        <v>17</v>
      </c>
      <c r="N70" s="640">
        <f t="shared" si="34"/>
        <v>0</v>
      </c>
      <c r="O70" s="636">
        <f t="shared" si="53"/>
        <v>0</v>
      </c>
      <c r="P70" s="641">
        <f t="shared" si="35"/>
        <v>17</v>
      </c>
      <c r="Q70" s="640">
        <f t="shared" si="36"/>
        <v>1.7763568394002505E-15</v>
      </c>
      <c r="R70" s="636">
        <f t="shared" si="54"/>
        <v>8.3999999999999986</v>
      </c>
      <c r="S70" s="641">
        <f t="shared" si="37"/>
        <v>17</v>
      </c>
      <c r="T70" s="640">
        <f t="shared" si="38"/>
        <v>1.7763568394002505E-15</v>
      </c>
      <c r="U70" s="636">
        <f t="shared" si="55"/>
        <v>8.3999999999999986</v>
      </c>
      <c r="V70" s="641">
        <f t="shared" si="39"/>
        <v>17</v>
      </c>
      <c r="W70" s="640">
        <f t="shared" si="40"/>
        <v>0</v>
      </c>
      <c r="X70" s="636">
        <f t="shared" si="56"/>
        <v>0</v>
      </c>
      <c r="Y70" s="641">
        <f t="shared" si="41"/>
        <v>17</v>
      </c>
      <c r="Z70" s="640">
        <f t="shared" si="42"/>
        <v>1.7763568394002505E-15</v>
      </c>
      <c r="AA70" s="636">
        <f t="shared" si="57"/>
        <v>8.3999999999999986</v>
      </c>
      <c r="AB70" s="641">
        <f t="shared" si="43"/>
        <v>17</v>
      </c>
      <c r="AC70" s="640">
        <f t="shared" si="44"/>
        <v>1.7763568394002505E-15</v>
      </c>
      <c r="AD70" s="636">
        <f t="shared" si="58"/>
        <v>8.3999999999999986</v>
      </c>
      <c r="AE70" s="641">
        <f t="shared" si="45"/>
        <v>17</v>
      </c>
      <c r="AF70" s="640">
        <f t="shared" si="46"/>
        <v>1.7763568394002505E-15</v>
      </c>
      <c r="AG70" s="636">
        <f t="shared" si="59"/>
        <v>8.3999999999999986</v>
      </c>
      <c r="AH70" s="642">
        <f t="shared" si="47"/>
        <v>17</v>
      </c>
      <c r="AI70" s="640">
        <f t="shared" si="48"/>
        <v>1.7763568394002505E-15</v>
      </c>
      <c r="AJ70" s="636">
        <f t="shared" si="60"/>
        <v>8.3999999999999986</v>
      </c>
      <c r="AK70" s="643"/>
    </row>
    <row r="71" spans="1:37" s="696" customFormat="1" ht="9" x14ac:dyDescent="0.15">
      <c r="A71" s="639">
        <f t="shared" si="25"/>
        <v>18</v>
      </c>
      <c r="B71" s="640">
        <f t="shared" si="26"/>
        <v>1.7763568394002505E-15</v>
      </c>
      <c r="C71" s="636">
        <f t="shared" si="49"/>
        <v>8.3999999999999986</v>
      </c>
      <c r="D71" s="641">
        <f t="shared" si="27"/>
        <v>18</v>
      </c>
      <c r="E71" s="640">
        <f t="shared" si="28"/>
        <v>1.7763568394002505E-15</v>
      </c>
      <c r="F71" s="636">
        <f t="shared" si="50"/>
        <v>8.3999999999999986</v>
      </c>
      <c r="G71" s="641">
        <f t="shared" si="29"/>
        <v>18</v>
      </c>
      <c r="H71" s="640">
        <f t="shared" si="30"/>
        <v>1.7763568394002505E-15</v>
      </c>
      <c r="I71" s="636">
        <f t="shared" si="51"/>
        <v>8.3999999999999986</v>
      </c>
      <c r="J71" s="641">
        <f>J19</f>
        <v>18</v>
      </c>
      <c r="K71" s="640">
        <f t="shared" si="32"/>
        <v>1.7763568394002505E-15</v>
      </c>
      <c r="L71" s="636">
        <f>L19*24</f>
        <v>8.3999999999999986</v>
      </c>
      <c r="M71" s="641">
        <f>M19</f>
        <v>18</v>
      </c>
      <c r="N71" s="640">
        <f t="shared" si="34"/>
        <v>0</v>
      </c>
      <c r="O71" s="636">
        <f t="shared" si="53"/>
        <v>0</v>
      </c>
      <c r="P71" s="641">
        <f t="shared" si="35"/>
        <v>18</v>
      </c>
      <c r="Q71" s="640">
        <f t="shared" si="36"/>
        <v>1.7763568394002505E-15</v>
      </c>
      <c r="R71" s="636">
        <f t="shared" si="54"/>
        <v>8.3999999999999986</v>
      </c>
      <c r="S71" s="641">
        <f t="shared" si="37"/>
        <v>18</v>
      </c>
      <c r="T71" s="640">
        <f t="shared" si="38"/>
        <v>1.7763568394002505E-15</v>
      </c>
      <c r="U71" s="636">
        <f t="shared" si="55"/>
        <v>8.3999999999999986</v>
      </c>
      <c r="V71" s="641">
        <f t="shared" si="39"/>
        <v>18</v>
      </c>
      <c r="W71" s="640">
        <f t="shared" si="40"/>
        <v>1.7763568394002505E-15</v>
      </c>
      <c r="X71" s="636">
        <f t="shared" si="56"/>
        <v>8.3999999999999986</v>
      </c>
      <c r="Y71" s="641">
        <f t="shared" si="41"/>
        <v>18</v>
      </c>
      <c r="Z71" s="640">
        <f t="shared" si="42"/>
        <v>1.7763568394002505E-15</v>
      </c>
      <c r="AA71" s="636">
        <f t="shared" si="57"/>
        <v>8.3999999999999986</v>
      </c>
      <c r="AB71" s="641">
        <f t="shared" si="43"/>
        <v>18</v>
      </c>
      <c r="AC71" s="640">
        <f t="shared" si="44"/>
        <v>0</v>
      </c>
      <c r="AD71" s="636">
        <f t="shared" si="58"/>
        <v>0</v>
      </c>
      <c r="AE71" s="641">
        <f t="shared" si="45"/>
        <v>18</v>
      </c>
      <c r="AF71" s="640">
        <f t="shared" si="46"/>
        <v>1.7763568394002505E-15</v>
      </c>
      <c r="AG71" s="636">
        <f t="shared" si="59"/>
        <v>8.3999999999999986</v>
      </c>
      <c r="AH71" s="642">
        <f t="shared" si="47"/>
        <v>18</v>
      </c>
      <c r="AI71" s="640">
        <f t="shared" si="48"/>
        <v>1.7763568394002505E-15</v>
      </c>
      <c r="AJ71" s="636">
        <f t="shared" si="60"/>
        <v>8.3999999999999986</v>
      </c>
      <c r="AK71" s="643"/>
    </row>
    <row r="72" spans="1:37" s="696" customFormat="1" ht="9" x14ac:dyDescent="0.15">
      <c r="A72" s="639">
        <f t="shared" si="25"/>
        <v>19</v>
      </c>
      <c r="B72" s="640">
        <f t="shared" si="26"/>
        <v>0</v>
      </c>
      <c r="C72" s="636">
        <f t="shared" si="49"/>
        <v>0</v>
      </c>
      <c r="D72" s="641">
        <f t="shared" si="27"/>
        <v>19</v>
      </c>
      <c r="E72" s="640">
        <f t="shared" si="28"/>
        <v>1.7763568394002505E-15</v>
      </c>
      <c r="F72" s="636">
        <f t="shared" si="50"/>
        <v>8.3999999999999986</v>
      </c>
      <c r="G72" s="641">
        <f t="shared" si="29"/>
        <v>19</v>
      </c>
      <c r="H72" s="640">
        <f t="shared" si="30"/>
        <v>1.7763568394002505E-15</v>
      </c>
      <c r="I72" s="636">
        <f t="shared" si="51"/>
        <v>8.3999999999999986</v>
      </c>
      <c r="J72" s="641">
        <f t="shared" si="31"/>
        <v>19</v>
      </c>
      <c r="K72" s="640">
        <f t="shared" si="32"/>
        <v>0</v>
      </c>
      <c r="L72" s="636">
        <f t="shared" si="52"/>
        <v>0</v>
      </c>
      <c r="M72" s="641">
        <f t="shared" si="33"/>
        <v>19</v>
      </c>
      <c r="N72" s="640">
        <f t="shared" si="34"/>
        <v>1.7763568394002505E-15</v>
      </c>
      <c r="O72" s="636">
        <f t="shared" si="53"/>
        <v>8.3999999999999986</v>
      </c>
      <c r="P72" s="641">
        <f t="shared" si="35"/>
        <v>19</v>
      </c>
      <c r="Q72" s="640">
        <f t="shared" si="36"/>
        <v>1.7763568394002505E-15</v>
      </c>
      <c r="R72" s="636">
        <f t="shared" si="54"/>
        <v>8.3999999999999986</v>
      </c>
      <c r="S72" s="641">
        <f t="shared" si="37"/>
        <v>19</v>
      </c>
      <c r="T72" s="640">
        <f t="shared" si="38"/>
        <v>0</v>
      </c>
      <c r="U72" s="636">
        <f t="shared" si="55"/>
        <v>0</v>
      </c>
      <c r="V72" s="641">
        <f t="shared" si="39"/>
        <v>19</v>
      </c>
      <c r="W72" s="640">
        <f t="shared" si="40"/>
        <v>1.7763568394002505E-15</v>
      </c>
      <c r="X72" s="636">
        <f t="shared" si="56"/>
        <v>8.3999999999999986</v>
      </c>
      <c r="Y72" s="641">
        <f t="shared" si="41"/>
        <v>19</v>
      </c>
      <c r="Z72" s="640">
        <f t="shared" si="42"/>
        <v>1.7763568394002505E-15</v>
      </c>
      <c r="AA72" s="636">
        <f t="shared" si="57"/>
        <v>8.3999999999999986</v>
      </c>
      <c r="AB72" s="641">
        <f t="shared" si="43"/>
        <v>19</v>
      </c>
      <c r="AC72" s="640">
        <f t="shared" si="44"/>
        <v>0</v>
      </c>
      <c r="AD72" s="636">
        <f t="shared" si="58"/>
        <v>0</v>
      </c>
      <c r="AE72" s="641">
        <f t="shared" si="45"/>
        <v>19</v>
      </c>
      <c r="AF72" s="640">
        <f t="shared" si="46"/>
        <v>1.7763568394002505E-15</v>
      </c>
      <c r="AG72" s="636">
        <f t="shared" si="59"/>
        <v>8.3999999999999986</v>
      </c>
      <c r="AH72" s="642">
        <f t="shared" si="47"/>
        <v>19</v>
      </c>
      <c r="AI72" s="640">
        <f t="shared" si="48"/>
        <v>1.7763568394002505E-15</v>
      </c>
      <c r="AJ72" s="636">
        <f t="shared" si="60"/>
        <v>8.3999999999999986</v>
      </c>
      <c r="AK72" s="643"/>
    </row>
    <row r="73" spans="1:37" s="696" customFormat="1" ht="9" x14ac:dyDescent="0.15">
      <c r="A73" s="639">
        <f t="shared" si="25"/>
        <v>20</v>
      </c>
      <c r="B73" s="640">
        <f t="shared" si="26"/>
        <v>0</v>
      </c>
      <c r="C73" s="636">
        <f t="shared" si="49"/>
        <v>0</v>
      </c>
      <c r="D73" s="641">
        <f t="shared" si="27"/>
        <v>20</v>
      </c>
      <c r="E73" s="640">
        <f t="shared" si="28"/>
        <v>1.7763568394002505E-15</v>
      </c>
      <c r="F73" s="636">
        <f t="shared" si="50"/>
        <v>8.3999999999999986</v>
      </c>
      <c r="G73" s="641">
        <f t="shared" si="29"/>
        <v>20</v>
      </c>
      <c r="H73" s="640">
        <f t="shared" si="30"/>
        <v>2.4000000000000004</v>
      </c>
      <c r="I73" s="636">
        <f t="shared" si="51"/>
        <v>6</v>
      </c>
      <c r="J73" s="641">
        <f t="shared" si="31"/>
        <v>20</v>
      </c>
      <c r="K73" s="640">
        <f t="shared" si="32"/>
        <v>0</v>
      </c>
      <c r="L73" s="636">
        <f t="shared" si="52"/>
        <v>0</v>
      </c>
      <c r="M73" s="641">
        <f t="shared" si="33"/>
        <v>20</v>
      </c>
      <c r="N73" s="640">
        <f t="shared" si="34"/>
        <v>1.7763568394002505E-15</v>
      </c>
      <c r="O73" s="636">
        <f t="shared" si="53"/>
        <v>8.3999999999999986</v>
      </c>
      <c r="P73" s="641">
        <f t="shared" si="35"/>
        <v>20</v>
      </c>
      <c r="Q73" s="640">
        <f t="shared" si="36"/>
        <v>1.7763568394002505E-15</v>
      </c>
      <c r="R73" s="636">
        <f t="shared" si="54"/>
        <v>8.3999999999999986</v>
      </c>
      <c r="S73" s="641">
        <f t="shared" si="37"/>
        <v>20</v>
      </c>
      <c r="T73" s="640">
        <f t="shared" si="38"/>
        <v>0</v>
      </c>
      <c r="U73" s="636">
        <f t="shared" si="55"/>
        <v>0</v>
      </c>
      <c r="V73" s="641">
        <f t="shared" si="39"/>
        <v>20</v>
      </c>
      <c r="W73" s="640">
        <f t="shared" si="40"/>
        <v>1.7763568394002505E-15</v>
      </c>
      <c r="X73" s="636">
        <f t="shared" si="56"/>
        <v>8.3999999999999986</v>
      </c>
      <c r="Y73" s="641">
        <f t="shared" si="41"/>
        <v>20</v>
      </c>
      <c r="Z73" s="640">
        <f t="shared" si="42"/>
        <v>0</v>
      </c>
      <c r="AA73" s="636">
        <f t="shared" si="57"/>
        <v>0</v>
      </c>
      <c r="AB73" s="641">
        <f t="shared" si="43"/>
        <v>20</v>
      </c>
      <c r="AC73" s="640">
        <f t="shared" si="44"/>
        <v>1.7763568394002505E-15</v>
      </c>
      <c r="AD73" s="636">
        <f t="shared" si="58"/>
        <v>8.3999999999999986</v>
      </c>
      <c r="AE73" s="641">
        <f t="shared" si="45"/>
        <v>20</v>
      </c>
      <c r="AF73" s="640">
        <f t="shared" si="46"/>
        <v>1.7763568394002505E-15</v>
      </c>
      <c r="AG73" s="636">
        <f t="shared" si="59"/>
        <v>8.3999999999999986</v>
      </c>
      <c r="AH73" s="642">
        <f t="shared" si="47"/>
        <v>20</v>
      </c>
      <c r="AI73" s="640">
        <f t="shared" si="48"/>
        <v>0</v>
      </c>
      <c r="AJ73" s="636">
        <f t="shared" si="60"/>
        <v>0</v>
      </c>
      <c r="AK73" s="643"/>
    </row>
    <row r="74" spans="1:37" s="696" customFormat="1" ht="9" x14ac:dyDescent="0.15">
      <c r="A74" s="639">
        <f t="shared" si="25"/>
        <v>21</v>
      </c>
      <c r="B74" s="640">
        <f t="shared" si="26"/>
        <v>1.7763568394002505E-15</v>
      </c>
      <c r="C74" s="636">
        <f t="shared" si="49"/>
        <v>8.3999999999999986</v>
      </c>
      <c r="D74" s="641">
        <f t="shared" si="27"/>
        <v>21</v>
      </c>
      <c r="E74" s="640">
        <f t="shared" si="28"/>
        <v>1.7763568394002505E-15</v>
      </c>
      <c r="F74" s="636">
        <f t="shared" si="50"/>
        <v>8.3999999999999986</v>
      </c>
      <c r="G74" s="641">
        <f t="shared" si="29"/>
        <v>21</v>
      </c>
      <c r="H74" s="640">
        <f t="shared" si="30"/>
        <v>8.4</v>
      </c>
      <c r="I74" s="636">
        <f t="shared" si="51"/>
        <v>0</v>
      </c>
      <c r="J74" s="641">
        <f t="shared" si="31"/>
        <v>21</v>
      </c>
      <c r="K74" s="640">
        <f t="shared" si="32"/>
        <v>1.7763568394002505E-15</v>
      </c>
      <c r="L74" s="636">
        <f t="shared" si="52"/>
        <v>8.3999999999999986</v>
      </c>
      <c r="M74" s="641">
        <f t="shared" si="33"/>
        <v>21</v>
      </c>
      <c r="N74" s="640">
        <f t="shared" si="34"/>
        <v>1.7763568394002505E-15</v>
      </c>
      <c r="O74" s="636">
        <f t="shared" si="53"/>
        <v>8.3999999999999986</v>
      </c>
      <c r="P74" s="641">
        <f t="shared" si="35"/>
        <v>21</v>
      </c>
      <c r="Q74" s="640">
        <f t="shared" si="36"/>
        <v>0</v>
      </c>
      <c r="R74" s="636">
        <f t="shared" si="54"/>
        <v>0</v>
      </c>
      <c r="S74" s="641">
        <f t="shared" si="37"/>
        <v>21</v>
      </c>
      <c r="T74" s="640">
        <f t="shared" si="38"/>
        <v>1.7763568394002505E-15</v>
      </c>
      <c r="U74" s="636">
        <f t="shared" si="55"/>
        <v>8.3999999999999986</v>
      </c>
      <c r="V74" s="641">
        <f t="shared" si="39"/>
        <v>21</v>
      </c>
      <c r="W74" s="640">
        <f t="shared" si="40"/>
        <v>1.7763568394002505E-15</v>
      </c>
      <c r="X74" s="636">
        <f t="shared" si="56"/>
        <v>8.3999999999999986</v>
      </c>
      <c r="Y74" s="641">
        <f t="shared" si="41"/>
        <v>21</v>
      </c>
      <c r="Z74" s="640">
        <f t="shared" si="42"/>
        <v>0</v>
      </c>
      <c r="AA74" s="636">
        <f t="shared" si="57"/>
        <v>0</v>
      </c>
      <c r="AB74" s="641">
        <f t="shared" si="43"/>
        <v>21</v>
      </c>
      <c r="AC74" s="640">
        <f t="shared" si="44"/>
        <v>1.7763568394002505E-15</v>
      </c>
      <c r="AD74" s="636">
        <f t="shared" si="58"/>
        <v>8.3999999999999986</v>
      </c>
      <c r="AE74" s="641">
        <f t="shared" si="45"/>
        <v>21</v>
      </c>
      <c r="AF74" s="640">
        <f t="shared" si="46"/>
        <v>1.7763568394002505E-15</v>
      </c>
      <c r="AG74" s="636">
        <f t="shared" si="59"/>
        <v>8.3999999999999986</v>
      </c>
      <c r="AH74" s="642">
        <f t="shared" si="47"/>
        <v>21</v>
      </c>
      <c r="AI74" s="640">
        <f t="shared" si="48"/>
        <v>0</v>
      </c>
      <c r="AJ74" s="636">
        <f t="shared" si="60"/>
        <v>0</v>
      </c>
      <c r="AK74" s="643"/>
    </row>
    <row r="75" spans="1:37" s="696" customFormat="1" ht="9" x14ac:dyDescent="0.15">
      <c r="A75" s="639">
        <f t="shared" si="25"/>
        <v>22</v>
      </c>
      <c r="B75" s="640">
        <f t="shared" si="26"/>
        <v>1.7763568394002505E-15</v>
      </c>
      <c r="C75" s="636">
        <f t="shared" si="49"/>
        <v>8.3999999999999986</v>
      </c>
      <c r="D75" s="641">
        <f t="shared" si="27"/>
        <v>22</v>
      </c>
      <c r="E75" s="640">
        <f t="shared" si="28"/>
        <v>1.7763568394002505E-15</v>
      </c>
      <c r="F75" s="636">
        <f t="shared" si="50"/>
        <v>8.3999999999999986</v>
      </c>
      <c r="G75" s="641">
        <f t="shared" si="29"/>
        <v>22</v>
      </c>
      <c r="H75" s="640">
        <f t="shared" si="30"/>
        <v>0</v>
      </c>
      <c r="I75" s="636">
        <f t="shared" si="51"/>
        <v>0</v>
      </c>
      <c r="J75" s="641">
        <f t="shared" si="31"/>
        <v>22</v>
      </c>
      <c r="K75" s="640">
        <f t="shared" si="32"/>
        <v>1.7763568394002505E-15</v>
      </c>
      <c r="L75" s="636">
        <f t="shared" si="52"/>
        <v>8.3999999999999986</v>
      </c>
      <c r="M75" s="641">
        <f t="shared" si="33"/>
        <v>22</v>
      </c>
      <c r="N75" s="640">
        <f t="shared" si="34"/>
        <v>1.7763568394002505E-15</v>
      </c>
      <c r="O75" s="636">
        <f t="shared" si="53"/>
        <v>8.3999999999999986</v>
      </c>
      <c r="P75" s="641">
        <f t="shared" si="35"/>
        <v>22</v>
      </c>
      <c r="Q75" s="640">
        <f t="shared" si="36"/>
        <v>0</v>
      </c>
      <c r="R75" s="636">
        <f t="shared" si="54"/>
        <v>0</v>
      </c>
      <c r="S75" s="641">
        <f t="shared" si="37"/>
        <v>22</v>
      </c>
      <c r="T75" s="640">
        <f t="shared" si="38"/>
        <v>1.7763568394002505E-15</v>
      </c>
      <c r="U75" s="636">
        <f t="shared" si="55"/>
        <v>8.3999999999999986</v>
      </c>
      <c r="V75" s="641">
        <f t="shared" si="39"/>
        <v>22</v>
      </c>
      <c r="W75" s="640">
        <f t="shared" si="40"/>
        <v>1.7763568394002505E-15</v>
      </c>
      <c r="X75" s="636">
        <f t="shared" si="56"/>
        <v>8.3999999999999986</v>
      </c>
      <c r="Y75" s="641">
        <f t="shared" si="41"/>
        <v>22</v>
      </c>
      <c r="Z75" s="640">
        <f t="shared" si="42"/>
        <v>1.7763568394002505E-15</v>
      </c>
      <c r="AA75" s="636">
        <f t="shared" si="57"/>
        <v>8.3999999999999986</v>
      </c>
      <c r="AB75" s="641">
        <f t="shared" si="43"/>
        <v>22</v>
      </c>
      <c r="AC75" s="640">
        <f t="shared" si="44"/>
        <v>1.7763568394002505E-15</v>
      </c>
      <c r="AD75" s="636">
        <f t="shared" si="58"/>
        <v>8.3999999999999986</v>
      </c>
      <c r="AE75" s="641">
        <f t="shared" si="45"/>
        <v>22</v>
      </c>
      <c r="AF75" s="640">
        <f t="shared" si="46"/>
        <v>0</v>
      </c>
      <c r="AG75" s="636">
        <f t="shared" si="59"/>
        <v>0</v>
      </c>
      <c r="AH75" s="642">
        <f t="shared" si="47"/>
        <v>22</v>
      </c>
      <c r="AI75" s="640">
        <f t="shared" si="48"/>
        <v>1.7763568394002505E-15</v>
      </c>
      <c r="AJ75" s="636">
        <f t="shared" si="60"/>
        <v>8.3999999999999986</v>
      </c>
      <c r="AK75" s="643"/>
    </row>
    <row r="76" spans="1:37" s="696" customFormat="1" ht="9" x14ac:dyDescent="0.15">
      <c r="A76" s="639">
        <f t="shared" si="25"/>
        <v>23</v>
      </c>
      <c r="B76" s="640">
        <f t="shared" si="26"/>
        <v>1.7763568394002505E-15</v>
      </c>
      <c r="C76" s="636">
        <f t="shared" si="49"/>
        <v>8.3999999999999986</v>
      </c>
      <c r="D76" s="641">
        <f t="shared" si="27"/>
        <v>23</v>
      </c>
      <c r="E76" s="640">
        <f t="shared" si="28"/>
        <v>0</v>
      </c>
      <c r="F76" s="636">
        <f t="shared" si="50"/>
        <v>0</v>
      </c>
      <c r="G76" s="641">
        <f t="shared" si="29"/>
        <v>23</v>
      </c>
      <c r="H76" s="640">
        <f t="shared" si="30"/>
        <v>0</v>
      </c>
      <c r="I76" s="636">
        <f t="shared" si="51"/>
        <v>0</v>
      </c>
      <c r="J76" s="641">
        <f t="shared" si="31"/>
        <v>23</v>
      </c>
      <c r="K76" s="640">
        <f t="shared" si="32"/>
        <v>1.7763568394002505E-15</v>
      </c>
      <c r="L76" s="636">
        <f t="shared" si="52"/>
        <v>8.3999999999999986</v>
      </c>
      <c r="M76" s="641">
        <f t="shared" si="33"/>
        <v>23</v>
      </c>
      <c r="N76" s="640">
        <f t="shared" si="34"/>
        <v>1.7763568394002505E-15</v>
      </c>
      <c r="O76" s="636">
        <f t="shared" si="53"/>
        <v>8.3999999999999986</v>
      </c>
      <c r="P76" s="641">
        <f t="shared" si="35"/>
        <v>23</v>
      </c>
      <c r="Q76" s="640">
        <f t="shared" si="36"/>
        <v>1.7763568394002505E-15</v>
      </c>
      <c r="R76" s="636">
        <f t="shared" si="54"/>
        <v>8.3999999999999986</v>
      </c>
      <c r="S76" s="641">
        <f t="shared" si="37"/>
        <v>23</v>
      </c>
      <c r="T76" s="640">
        <f t="shared" si="38"/>
        <v>1.7763568394002505E-15</v>
      </c>
      <c r="U76" s="636">
        <f t="shared" si="55"/>
        <v>8.3999999999999986</v>
      </c>
      <c r="V76" s="641">
        <f t="shared" si="39"/>
        <v>23</v>
      </c>
      <c r="W76" s="640">
        <f t="shared" si="40"/>
        <v>0</v>
      </c>
      <c r="X76" s="636">
        <f t="shared" si="56"/>
        <v>0</v>
      </c>
      <c r="Y76" s="641">
        <f t="shared" si="41"/>
        <v>23</v>
      </c>
      <c r="Z76" s="640">
        <f t="shared" si="42"/>
        <v>1.7763568394002505E-15</v>
      </c>
      <c r="AA76" s="636">
        <f t="shared" si="57"/>
        <v>8.3999999999999986</v>
      </c>
      <c r="AB76" s="641">
        <f t="shared" si="43"/>
        <v>23</v>
      </c>
      <c r="AC76" s="640">
        <f t="shared" si="44"/>
        <v>1.7763568394002505E-15</v>
      </c>
      <c r="AD76" s="636">
        <f t="shared" si="58"/>
        <v>8.3999999999999986</v>
      </c>
      <c r="AE76" s="641">
        <f t="shared" si="45"/>
        <v>23</v>
      </c>
      <c r="AF76" s="640">
        <f t="shared" si="46"/>
        <v>0</v>
      </c>
      <c r="AG76" s="636">
        <f t="shared" si="59"/>
        <v>0</v>
      </c>
      <c r="AH76" s="642">
        <f t="shared" si="47"/>
        <v>23</v>
      </c>
      <c r="AI76" s="640">
        <f t="shared" si="48"/>
        <v>1.7763568394002505E-15</v>
      </c>
      <c r="AJ76" s="636">
        <f t="shared" si="60"/>
        <v>8.3999999999999986</v>
      </c>
      <c r="AK76" s="643"/>
    </row>
    <row r="77" spans="1:37" s="696" customFormat="1" ht="9" x14ac:dyDescent="0.15">
      <c r="A77" s="639">
        <f t="shared" si="25"/>
        <v>24</v>
      </c>
      <c r="B77" s="640">
        <f t="shared" si="26"/>
        <v>1.7763568394002505E-15</v>
      </c>
      <c r="C77" s="636">
        <f t="shared" si="49"/>
        <v>8.3999999999999986</v>
      </c>
      <c r="D77" s="641">
        <f t="shared" si="27"/>
        <v>24</v>
      </c>
      <c r="E77" s="640">
        <f t="shared" si="28"/>
        <v>0</v>
      </c>
      <c r="F77" s="636">
        <f t="shared" si="50"/>
        <v>0</v>
      </c>
      <c r="G77" s="641">
        <f t="shared" si="29"/>
        <v>24</v>
      </c>
      <c r="H77" s="640">
        <f t="shared" si="30"/>
        <v>8.4</v>
      </c>
      <c r="I77" s="636">
        <f t="shared" si="51"/>
        <v>0</v>
      </c>
      <c r="J77" s="641">
        <f t="shared" si="31"/>
        <v>24</v>
      </c>
      <c r="K77" s="640">
        <f t="shared" si="32"/>
        <v>1.7763568394002505E-15</v>
      </c>
      <c r="L77" s="636">
        <f t="shared" si="52"/>
        <v>8.3999999999999986</v>
      </c>
      <c r="M77" s="641">
        <f t="shared" si="33"/>
        <v>24</v>
      </c>
      <c r="N77" s="640">
        <f t="shared" si="34"/>
        <v>0</v>
      </c>
      <c r="O77" s="636">
        <f t="shared" si="53"/>
        <v>0</v>
      </c>
      <c r="P77" s="641">
        <f t="shared" si="35"/>
        <v>24</v>
      </c>
      <c r="Q77" s="640">
        <f t="shared" si="36"/>
        <v>1.7763568394002505E-15</v>
      </c>
      <c r="R77" s="636">
        <f t="shared" si="54"/>
        <v>8.3999999999999986</v>
      </c>
      <c r="S77" s="641">
        <f t="shared" si="37"/>
        <v>24</v>
      </c>
      <c r="T77" s="640">
        <f t="shared" si="38"/>
        <v>1.7763568394002505E-15</v>
      </c>
      <c r="U77" s="636">
        <f t="shared" si="55"/>
        <v>8.3999999999999986</v>
      </c>
      <c r="V77" s="641">
        <f t="shared" si="39"/>
        <v>24</v>
      </c>
      <c r="W77" s="640">
        <f t="shared" si="40"/>
        <v>0</v>
      </c>
      <c r="X77" s="636">
        <f t="shared" si="56"/>
        <v>0</v>
      </c>
      <c r="Y77" s="641">
        <f t="shared" si="41"/>
        <v>24</v>
      </c>
      <c r="Z77" s="640">
        <f t="shared" si="42"/>
        <v>1.7763568394002505E-15</v>
      </c>
      <c r="AA77" s="636">
        <f t="shared" si="57"/>
        <v>8.3999999999999986</v>
      </c>
      <c r="AB77" s="641">
        <f t="shared" si="43"/>
        <v>24</v>
      </c>
      <c r="AC77" s="640">
        <f t="shared" si="44"/>
        <v>1.7763568394002505E-15</v>
      </c>
      <c r="AD77" s="636">
        <f t="shared" si="58"/>
        <v>8.3999999999999986</v>
      </c>
      <c r="AE77" s="641">
        <f t="shared" si="45"/>
        <v>24</v>
      </c>
      <c r="AF77" s="640">
        <f t="shared" si="46"/>
        <v>1.7763568394002505E-15</v>
      </c>
      <c r="AG77" s="636">
        <f t="shared" si="59"/>
        <v>8.3999999999999986</v>
      </c>
      <c r="AH77" s="642">
        <f t="shared" si="47"/>
        <v>24</v>
      </c>
      <c r="AI77" s="640">
        <f t="shared" si="48"/>
        <v>4.2000000000000011</v>
      </c>
      <c r="AJ77" s="636">
        <f t="shared" si="60"/>
        <v>4.1999999999999993</v>
      </c>
      <c r="AK77" s="643"/>
    </row>
    <row r="78" spans="1:37" s="696" customFormat="1" ht="9" x14ac:dyDescent="0.15">
      <c r="A78" s="639">
        <f t="shared" si="25"/>
        <v>25</v>
      </c>
      <c r="B78" s="640">
        <f t="shared" si="26"/>
        <v>1.7763568394002505E-15</v>
      </c>
      <c r="C78" s="636">
        <f t="shared" si="49"/>
        <v>8.3999999999999986</v>
      </c>
      <c r="D78" s="641">
        <f t="shared" si="27"/>
        <v>25</v>
      </c>
      <c r="E78" s="640">
        <f t="shared" si="28"/>
        <v>1.7763568394002505E-15</v>
      </c>
      <c r="F78" s="636">
        <f t="shared" si="50"/>
        <v>8.3999999999999986</v>
      </c>
      <c r="G78" s="641">
        <f t="shared" si="29"/>
        <v>25</v>
      </c>
      <c r="H78" s="640">
        <f t="shared" si="30"/>
        <v>1.7763568394002505E-15</v>
      </c>
      <c r="I78" s="636">
        <f t="shared" si="51"/>
        <v>8.3999999999999986</v>
      </c>
      <c r="J78" s="641">
        <f t="shared" si="31"/>
        <v>25</v>
      </c>
      <c r="K78" s="640">
        <f t="shared" si="32"/>
        <v>1.7763568394002505E-15</v>
      </c>
      <c r="L78" s="636">
        <f t="shared" si="52"/>
        <v>8.3999999999999986</v>
      </c>
      <c r="M78" s="641">
        <f t="shared" si="33"/>
        <v>25</v>
      </c>
      <c r="N78" s="640">
        <f t="shared" si="34"/>
        <v>0</v>
      </c>
      <c r="O78" s="636">
        <f t="shared" si="53"/>
        <v>0</v>
      </c>
      <c r="P78" s="641">
        <f t="shared" si="35"/>
        <v>25</v>
      </c>
      <c r="Q78" s="640">
        <f t="shared" si="36"/>
        <v>1.7763568394002505E-15</v>
      </c>
      <c r="R78" s="636">
        <f t="shared" si="54"/>
        <v>8.3999999999999986</v>
      </c>
      <c r="S78" s="641">
        <f t="shared" si="37"/>
        <v>25</v>
      </c>
      <c r="T78" s="640">
        <f t="shared" si="38"/>
        <v>1.7763568394002505E-15</v>
      </c>
      <c r="U78" s="636">
        <f t="shared" si="55"/>
        <v>8.3999999999999986</v>
      </c>
      <c r="V78" s="641">
        <f t="shared" si="39"/>
        <v>25</v>
      </c>
      <c r="W78" s="640">
        <f t="shared" si="40"/>
        <v>1.7763568394002505E-15</v>
      </c>
      <c r="X78" s="636">
        <f t="shared" si="56"/>
        <v>8.3999999999999986</v>
      </c>
      <c r="Y78" s="641">
        <f t="shared" si="41"/>
        <v>25</v>
      </c>
      <c r="Z78" s="640">
        <f t="shared" si="42"/>
        <v>1.7763568394002505E-15</v>
      </c>
      <c r="AA78" s="636">
        <f t="shared" si="57"/>
        <v>8.3999999999999986</v>
      </c>
      <c r="AB78" s="641">
        <f t="shared" si="43"/>
        <v>25</v>
      </c>
      <c r="AC78" s="640">
        <f t="shared" si="44"/>
        <v>0</v>
      </c>
      <c r="AD78" s="636">
        <f t="shared" si="58"/>
        <v>0</v>
      </c>
      <c r="AE78" s="641">
        <f t="shared" si="45"/>
        <v>25</v>
      </c>
      <c r="AF78" s="640">
        <f t="shared" si="46"/>
        <v>1.7763568394002505E-15</v>
      </c>
      <c r="AG78" s="636">
        <f t="shared" si="59"/>
        <v>8.3999999999999986</v>
      </c>
      <c r="AH78" s="642">
        <f t="shared" si="47"/>
        <v>25</v>
      </c>
      <c r="AI78" s="640">
        <f t="shared" si="48"/>
        <v>8.4</v>
      </c>
      <c r="AJ78" s="636">
        <f t="shared" si="60"/>
        <v>0</v>
      </c>
      <c r="AK78" s="643"/>
    </row>
    <row r="79" spans="1:37" s="696" customFormat="1" ht="9" x14ac:dyDescent="0.15">
      <c r="A79" s="639">
        <f t="shared" si="25"/>
        <v>26</v>
      </c>
      <c r="B79" s="640">
        <f t="shared" si="26"/>
        <v>0</v>
      </c>
      <c r="C79" s="636">
        <f t="shared" si="49"/>
        <v>0</v>
      </c>
      <c r="D79" s="641">
        <f t="shared" si="27"/>
        <v>26</v>
      </c>
      <c r="E79" s="640">
        <f t="shared" si="28"/>
        <v>1.7763568394002505E-15</v>
      </c>
      <c r="F79" s="636">
        <f t="shared" si="50"/>
        <v>8.3999999999999986</v>
      </c>
      <c r="G79" s="641">
        <f t="shared" si="29"/>
        <v>26</v>
      </c>
      <c r="H79" s="640">
        <f t="shared" si="30"/>
        <v>1.7763568394002505E-15</v>
      </c>
      <c r="I79" s="636">
        <f t="shared" si="51"/>
        <v>8.3999999999999986</v>
      </c>
      <c r="J79" s="641">
        <f t="shared" si="31"/>
        <v>26</v>
      </c>
      <c r="K79" s="640">
        <f t="shared" si="32"/>
        <v>0</v>
      </c>
      <c r="L79" s="636">
        <f t="shared" si="52"/>
        <v>0</v>
      </c>
      <c r="M79" s="641">
        <f t="shared" si="33"/>
        <v>26</v>
      </c>
      <c r="N79" s="640">
        <f t="shared" si="34"/>
        <v>1.7763568394002505E-15</v>
      </c>
      <c r="O79" s="636">
        <f t="shared" si="53"/>
        <v>8.3999999999999986</v>
      </c>
      <c r="P79" s="641">
        <f t="shared" si="35"/>
        <v>26</v>
      </c>
      <c r="Q79" s="640">
        <f t="shared" si="36"/>
        <v>1.7763568394002505E-15</v>
      </c>
      <c r="R79" s="636">
        <f t="shared" si="54"/>
        <v>8.3999999999999986</v>
      </c>
      <c r="S79" s="641">
        <f t="shared" si="37"/>
        <v>26</v>
      </c>
      <c r="T79" s="640">
        <f t="shared" si="38"/>
        <v>0</v>
      </c>
      <c r="U79" s="636">
        <f t="shared" si="55"/>
        <v>0</v>
      </c>
      <c r="V79" s="641">
        <f t="shared" si="39"/>
        <v>26</v>
      </c>
      <c r="W79" s="640">
        <f t="shared" si="40"/>
        <v>1.7763568394002505E-15</v>
      </c>
      <c r="X79" s="636">
        <f t="shared" si="56"/>
        <v>8.3999999999999986</v>
      </c>
      <c r="Y79" s="641">
        <f t="shared" si="41"/>
        <v>26</v>
      </c>
      <c r="Z79" s="640">
        <f t="shared" si="42"/>
        <v>1.7763568394002505E-15</v>
      </c>
      <c r="AA79" s="636">
        <f t="shared" si="57"/>
        <v>8.3999999999999986</v>
      </c>
      <c r="AB79" s="641">
        <f t="shared" si="43"/>
        <v>26</v>
      </c>
      <c r="AC79" s="640">
        <f t="shared" si="44"/>
        <v>0</v>
      </c>
      <c r="AD79" s="636">
        <f t="shared" si="58"/>
        <v>0</v>
      </c>
      <c r="AE79" s="641">
        <f t="shared" si="45"/>
        <v>26</v>
      </c>
      <c r="AF79" s="640">
        <f t="shared" si="46"/>
        <v>1.7763568394002505E-15</v>
      </c>
      <c r="AG79" s="636">
        <f t="shared" si="59"/>
        <v>8.3999999999999986</v>
      </c>
      <c r="AH79" s="642">
        <f t="shared" si="47"/>
        <v>26</v>
      </c>
      <c r="AI79" s="640">
        <f t="shared" si="48"/>
        <v>8.4</v>
      </c>
      <c r="AJ79" s="636">
        <f t="shared" si="60"/>
        <v>0</v>
      </c>
      <c r="AK79" s="643"/>
    </row>
    <row r="80" spans="1:37" s="696" customFormat="1" ht="9" x14ac:dyDescent="0.15">
      <c r="A80" s="639">
        <f t="shared" si="25"/>
        <v>27</v>
      </c>
      <c r="B80" s="640">
        <f t="shared" si="26"/>
        <v>0</v>
      </c>
      <c r="C80" s="636">
        <f t="shared" si="49"/>
        <v>0</v>
      </c>
      <c r="D80" s="641">
        <f t="shared" si="27"/>
        <v>27</v>
      </c>
      <c r="E80" s="640">
        <f t="shared" si="28"/>
        <v>1.7763568394002505E-15</v>
      </c>
      <c r="F80" s="636">
        <f t="shared" si="50"/>
        <v>8.3999999999999986</v>
      </c>
      <c r="G80" s="641">
        <f t="shared" si="29"/>
        <v>27</v>
      </c>
      <c r="H80" s="640">
        <f t="shared" si="30"/>
        <v>1.7763568394002505E-15</v>
      </c>
      <c r="I80" s="636">
        <f t="shared" si="51"/>
        <v>8.3999999999999986</v>
      </c>
      <c r="J80" s="641">
        <f t="shared" si="31"/>
        <v>27</v>
      </c>
      <c r="K80" s="640">
        <f t="shared" si="32"/>
        <v>0</v>
      </c>
      <c r="L80" s="636">
        <f t="shared" si="52"/>
        <v>0</v>
      </c>
      <c r="M80" s="641">
        <f t="shared" si="33"/>
        <v>27</v>
      </c>
      <c r="N80" s="640">
        <f t="shared" si="34"/>
        <v>1.7763568394002505E-15</v>
      </c>
      <c r="O80" s="636">
        <f t="shared" si="53"/>
        <v>8.3999999999999986</v>
      </c>
      <c r="P80" s="641">
        <f t="shared" si="35"/>
        <v>27</v>
      </c>
      <c r="Q80" s="640">
        <f t="shared" si="36"/>
        <v>1.7763568394002505E-15</v>
      </c>
      <c r="R80" s="636">
        <f t="shared" si="54"/>
        <v>8.3999999999999986</v>
      </c>
      <c r="S80" s="641">
        <f t="shared" si="37"/>
        <v>27</v>
      </c>
      <c r="T80" s="640">
        <f t="shared" si="38"/>
        <v>0</v>
      </c>
      <c r="U80" s="636">
        <f t="shared" si="55"/>
        <v>0</v>
      </c>
      <c r="V80" s="641">
        <f t="shared" si="39"/>
        <v>27</v>
      </c>
      <c r="W80" s="640">
        <f t="shared" si="40"/>
        <v>1.7763568394002505E-15</v>
      </c>
      <c r="X80" s="636">
        <f t="shared" si="56"/>
        <v>8.3999999999999986</v>
      </c>
      <c r="Y80" s="641">
        <f t="shared" si="41"/>
        <v>27</v>
      </c>
      <c r="Z80" s="640">
        <f t="shared" si="42"/>
        <v>0</v>
      </c>
      <c r="AA80" s="636">
        <f t="shared" si="57"/>
        <v>0</v>
      </c>
      <c r="AB80" s="641">
        <f t="shared" si="43"/>
        <v>27</v>
      </c>
      <c r="AC80" s="640">
        <f t="shared" si="44"/>
        <v>1.7763568394002505E-15</v>
      </c>
      <c r="AD80" s="636">
        <f t="shared" si="58"/>
        <v>8.3999999999999986</v>
      </c>
      <c r="AE80" s="641">
        <f t="shared" si="45"/>
        <v>27</v>
      </c>
      <c r="AF80" s="640">
        <f t="shared" si="46"/>
        <v>1.7763568394002505E-15</v>
      </c>
      <c r="AG80" s="636">
        <f t="shared" si="59"/>
        <v>8.3999999999999986</v>
      </c>
      <c r="AH80" s="642">
        <f t="shared" si="47"/>
        <v>27</v>
      </c>
      <c r="AI80" s="640">
        <f t="shared" si="48"/>
        <v>0</v>
      </c>
      <c r="AJ80" s="636">
        <f t="shared" si="60"/>
        <v>0</v>
      </c>
      <c r="AK80" s="643"/>
    </row>
    <row r="81" spans="1:37" s="696" customFormat="1" ht="9" x14ac:dyDescent="0.15">
      <c r="A81" s="639">
        <f t="shared" si="25"/>
        <v>28</v>
      </c>
      <c r="B81" s="640">
        <f t="shared" si="26"/>
        <v>1.7763568394002505E-15</v>
      </c>
      <c r="C81" s="636">
        <f t="shared" si="49"/>
        <v>8.3999999999999986</v>
      </c>
      <c r="D81" s="641">
        <f t="shared" si="27"/>
        <v>28</v>
      </c>
      <c r="E81" s="640">
        <f t="shared" si="28"/>
        <v>1.7763568394002505E-15</v>
      </c>
      <c r="F81" s="636">
        <f t="shared" si="50"/>
        <v>8.3999999999999986</v>
      </c>
      <c r="G81" s="641">
        <f t="shared" si="29"/>
        <v>28</v>
      </c>
      <c r="H81" s="640">
        <f t="shared" si="30"/>
        <v>1.7763568394002505E-15</v>
      </c>
      <c r="I81" s="636">
        <f t="shared" si="51"/>
        <v>8.3999999999999986</v>
      </c>
      <c r="J81" s="641">
        <f t="shared" si="31"/>
        <v>28</v>
      </c>
      <c r="K81" s="640">
        <f t="shared" si="32"/>
        <v>1.7763568394002505E-15</v>
      </c>
      <c r="L81" s="636">
        <f t="shared" si="52"/>
        <v>8.3999999999999986</v>
      </c>
      <c r="M81" s="641">
        <f t="shared" si="33"/>
        <v>28</v>
      </c>
      <c r="N81" s="640">
        <f t="shared" si="34"/>
        <v>1.7763568394002505E-15</v>
      </c>
      <c r="O81" s="636">
        <f t="shared" si="53"/>
        <v>8.3999999999999986</v>
      </c>
      <c r="P81" s="641">
        <f t="shared" si="35"/>
        <v>28</v>
      </c>
      <c r="Q81" s="640">
        <f t="shared" si="36"/>
        <v>0</v>
      </c>
      <c r="R81" s="636">
        <f t="shared" si="54"/>
        <v>0</v>
      </c>
      <c r="S81" s="641">
        <f t="shared" si="37"/>
        <v>28</v>
      </c>
      <c r="T81" s="640">
        <f t="shared" si="38"/>
        <v>1.7763568394002505E-15</v>
      </c>
      <c r="U81" s="636">
        <f t="shared" si="55"/>
        <v>8.3999999999999986</v>
      </c>
      <c r="V81" s="641">
        <f t="shared" si="39"/>
        <v>28</v>
      </c>
      <c r="W81" s="640">
        <f t="shared" si="40"/>
        <v>1.7763568394002505E-15</v>
      </c>
      <c r="X81" s="636">
        <f t="shared" si="56"/>
        <v>8.3999999999999986</v>
      </c>
      <c r="Y81" s="641">
        <f t="shared" si="41"/>
        <v>28</v>
      </c>
      <c r="Z81" s="640">
        <f t="shared" si="42"/>
        <v>0</v>
      </c>
      <c r="AA81" s="636">
        <f t="shared" si="57"/>
        <v>0</v>
      </c>
      <c r="AB81" s="641">
        <f t="shared" si="43"/>
        <v>28</v>
      </c>
      <c r="AC81" s="640">
        <f t="shared" si="44"/>
        <v>1.7763568394002505E-15</v>
      </c>
      <c r="AD81" s="636">
        <f t="shared" si="58"/>
        <v>8.3999999999999986</v>
      </c>
      <c r="AE81" s="641">
        <f t="shared" si="45"/>
        <v>28</v>
      </c>
      <c r="AF81" s="640">
        <f t="shared" si="46"/>
        <v>1.7763568394002505E-15</v>
      </c>
      <c r="AG81" s="636">
        <f t="shared" si="59"/>
        <v>8.3999999999999986</v>
      </c>
      <c r="AH81" s="642">
        <f t="shared" si="47"/>
        <v>28</v>
      </c>
      <c r="AI81" s="640">
        <f t="shared" si="48"/>
        <v>0</v>
      </c>
      <c r="AJ81" s="636">
        <f t="shared" si="60"/>
        <v>0</v>
      </c>
      <c r="AK81" s="643"/>
    </row>
    <row r="82" spans="1:37" s="696" customFormat="1" ht="9" x14ac:dyDescent="0.15">
      <c r="A82" s="639">
        <f t="shared" si="25"/>
        <v>29</v>
      </c>
      <c r="B82" s="640">
        <f t="shared" si="26"/>
        <v>1.7763568394002505E-15</v>
      </c>
      <c r="C82" s="636">
        <f t="shared" si="49"/>
        <v>8.3999999999999986</v>
      </c>
      <c r="D82" s="641">
        <v>29</v>
      </c>
      <c r="E82" s="640">
        <f>IF(ISERROR(DATE($AK$1,F$1,D30)),0,IF(ISBLANK(F30),0,IF(OR(OR(WEEKDAY(DATE($AK$1,F$1,D30))=1,WEEKDAY(DATE($AK$1,F$1,D30))=7)),0,IF(ISNONTEXT(F30),8.4-F82,8.4-F82))))</f>
        <v>1.7763568394002505E-15</v>
      </c>
      <c r="F82" s="636">
        <f t="shared" si="50"/>
        <v>8.3999999999999986</v>
      </c>
      <c r="G82" s="641">
        <f t="shared" si="29"/>
        <v>29</v>
      </c>
      <c r="H82" s="640">
        <f t="shared" si="30"/>
        <v>0</v>
      </c>
      <c r="I82" s="636">
        <f t="shared" si="51"/>
        <v>0</v>
      </c>
      <c r="J82" s="641">
        <f t="shared" si="31"/>
        <v>29</v>
      </c>
      <c r="K82" s="640">
        <f t="shared" si="32"/>
        <v>1.7763568394002505E-15</v>
      </c>
      <c r="L82" s="636">
        <f t="shared" si="52"/>
        <v>8.3999999999999986</v>
      </c>
      <c r="M82" s="641">
        <f t="shared" si="33"/>
        <v>29</v>
      </c>
      <c r="N82" s="640">
        <f t="shared" si="34"/>
        <v>1.7763568394002505E-15</v>
      </c>
      <c r="O82" s="636">
        <f t="shared" si="53"/>
        <v>8.3999999999999986</v>
      </c>
      <c r="P82" s="641">
        <f t="shared" si="35"/>
        <v>29</v>
      </c>
      <c r="Q82" s="640">
        <f t="shared" si="36"/>
        <v>0</v>
      </c>
      <c r="R82" s="636">
        <f t="shared" si="54"/>
        <v>0</v>
      </c>
      <c r="S82" s="641">
        <f t="shared" si="37"/>
        <v>29</v>
      </c>
      <c r="T82" s="640">
        <f t="shared" si="38"/>
        <v>1.7763568394002505E-15</v>
      </c>
      <c r="U82" s="636">
        <f t="shared" si="55"/>
        <v>8.3999999999999986</v>
      </c>
      <c r="V82" s="641">
        <f t="shared" si="39"/>
        <v>29</v>
      </c>
      <c r="W82" s="640">
        <f t="shared" si="40"/>
        <v>1.7763568394002505E-15</v>
      </c>
      <c r="X82" s="636">
        <f t="shared" si="56"/>
        <v>8.3999999999999986</v>
      </c>
      <c r="Y82" s="641">
        <f t="shared" si="41"/>
        <v>29</v>
      </c>
      <c r="Z82" s="640">
        <f t="shared" si="42"/>
        <v>1.7763568394002505E-15</v>
      </c>
      <c r="AA82" s="636">
        <f t="shared" si="57"/>
        <v>8.3999999999999986</v>
      </c>
      <c r="AB82" s="641">
        <f t="shared" si="43"/>
        <v>29</v>
      </c>
      <c r="AC82" s="640">
        <f t="shared" si="44"/>
        <v>1.7763568394002505E-15</v>
      </c>
      <c r="AD82" s="636">
        <f t="shared" si="58"/>
        <v>8.3999999999999986</v>
      </c>
      <c r="AE82" s="641">
        <f t="shared" si="45"/>
        <v>29</v>
      </c>
      <c r="AF82" s="640">
        <f t="shared" si="46"/>
        <v>0</v>
      </c>
      <c r="AG82" s="636">
        <f t="shared" si="59"/>
        <v>0</v>
      </c>
      <c r="AH82" s="642">
        <f t="shared" si="47"/>
        <v>29</v>
      </c>
      <c r="AI82" s="640">
        <f t="shared" si="48"/>
        <v>1.7763568394002505E-15</v>
      </c>
      <c r="AJ82" s="636">
        <f t="shared" si="60"/>
        <v>8.3999999999999986</v>
      </c>
      <c r="AK82" s="643"/>
    </row>
    <row r="83" spans="1:37" s="696" customFormat="1" ht="9" x14ac:dyDescent="0.15">
      <c r="A83" s="639">
        <f t="shared" si="25"/>
        <v>30</v>
      </c>
      <c r="B83" s="640">
        <f t="shared" si="26"/>
        <v>1.7763568394002505E-15</v>
      </c>
      <c r="C83" s="636">
        <f t="shared" si="49"/>
        <v>8.3999999999999986</v>
      </c>
      <c r="D83" s="641"/>
      <c r="E83" s="644"/>
      <c r="F83" s="636"/>
      <c r="G83" s="641">
        <f t="shared" si="29"/>
        <v>30</v>
      </c>
      <c r="H83" s="640">
        <f t="shared" si="30"/>
        <v>0</v>
      </c>
      <c r="I83" s="636">
        <f t="shared" si="51"/>
        <v>0</v>
      </c>
      <c r="J83" s="641">
        <f t="shared" si="31"/>
        <v>30</v>
      </c>
      <c r="K83" s="640">
        <f t="shared" si="32"/>
        <v>2.4000000000000004</v>
      </c>
      <c r="L83" s="636">
        <f t="shared" si="52"/>
        <v>6</v>
      </c>
      <c r="M83" s="641">
        <f t="shared" si="33"/>
        <v>30</v>
      </c>
      <c r="N83" s="640">
        <f t="shared" si="34"/>
        <v>1.7763568394002505E-15</v>
      </c>
      <c r="O83" s="636">
        <f t="shared" si="53"/>
        <v>8.3999999999999986</v>
      </c>
      <c r="P83" s="641">
        <f t="shared" si="35"/>
        <v>30</v>
      </c>
      <c r="Q83" s="640">
        <f t="shared" si="36"/>
        <v>1.7763568394002505E-15</v>
      </c>
      <c r="R83" s="636">
        <f t="shared" si="54"/>
        <v>8.3999999999999986</v>
      </c>
      <c r="S83" s="641">
        <f t="shared" si="37"/>
        <v>30</v>
      </c>
      <c r="T83" s="640">
        <f t="shared" si="38"/>
        <v>1.7763568394002505E-15</v>
      </c>
      <c r="U83" s="636">
        <f t="shared" si="55"/>
        <v>8.3999999999999986</v>
      </c>
      <c r="V83" s="641">
        <f t="shared" si="39"/>
        <v>30</v>
      </c>
      <c r="W83" s="640">
        <f t="shared" si="40"/>
        <v>0</v>
      </c>
      <c r="X83" s="636">
        <f t="shared" si="56"/>
        <v>0</v>
      </c>
      <c r="Y83" s="641">
        <f t="shared" si="41"/>
        <v>30</v>
      </c>
      <c r="Z83" s="640">
        <f t="shared" si="42"/>
        <v>1.7763568394002505E-15</v>
      </c>
      <c r="AA83" s="636">
        <f t="shared" si="57"/>
        <v>8.3999999999999986</v>
      </c>
      <c r="AB83" s="641">
        <f t="shared" si="43"/>
        <v>30</v>
      </c>
      <c r="AC83" s="640">
        <f t="shared" si="44"/>
        <v>1.7763568394002505E-15</v>
      </c>
      <c r="AD83" s="636">
        <f t="shared" si="58"/>
        <v>8.3999999999999986</v>
      </c>
      <c r="AE83" s="641">
        <f t="shared" si="45"/>
        <v>30</v>
      </c>
      <c r="AF83" s="640">
        <f t="shared" si="46"/>
        <v>0</v>
      </c>
      <c r="AG83" s="636">
        <f t="shared" si="59"/>
        <v>0</v>
      </c>
      <c r="AH83" s="642">
        <f t="shared" si="47"/>
        <v>30</v>
      </c>
      <c r="AI83" s="640">
        <f t="shared" si="48"/>
        <v>1.7763568394002505E-15</v>
      </c>
      <c r="AJ83" s="636">
        <f t="shared" si="60"/>
        <v>8.3999999999999986</v>
      </c>
      <c r="AK83" s="643"/>
    </row>
    <row r="84" spans="1:37" s="696" customFormat="1" ht="9" x14ac:dyDescent="0.15">
      <c r="A84" s="639">
        <f t="shared" si="25"/>
        <v>31</v>
      </c>
      <c r="B84" s="640">
        <f t="shared" si="26"/>
        <v>1.7763568394002505E-15</v>
      </c>
      <c r="C84" s="636">
        <f t="shared" si="49"/>
        <v>8.3999999999999986</v>
      </c>
      <c r="D84" s="641"/>
      <c r="E84" s="644"/>
      <c r="F84" s="636"/>
      <c r="G84" s="641">
        <f t="shared" si="29"/>
        <v>31</v>
      </c>
      <c r="H84" s="640">
        <f t="shared" si="30"/>
        <v>1.7763568394002505E-15</v>
      </c>
      <c r="I84" s="636">
        <f t="shared" si="51"/>
        <v>8.3999999999999986</v>
      </c>
      <c r="J84" s="641"/>
      <c r="K84" s="644"/>
      <c r="L84" s="636"/>
      <c r="M84" s="641">
        <f t="shared" si="33"/>
        <v>31</v>
      </c>
      <c r="N84" s="640">
        <f t="shared" si="34"/>
        <v>0</v>
      </c>
      <c r="O84" s="636">
        <f t="shared" si="53"/>
        <v>0</v>
      </c>
      <c r="P84" s="641"/>
      <c r="Q84" s="644"/>
      <c r="R84" s="636"/>
      <c r="S84" s="641">
        <f t="shared" si="37"/>
        <v>31</v>
      </c>
      <c r="T84" s="640">
        <f t="shared" si="38"/>
        <v>1.7763568394002505E-15</v>
      </c>
      <c r="U84" s="636">
        <f t="shared" si="55"/>
        <v>8.3999999999999986</v>
      </c>
      <c r="V84" s="641">
        <f t="shared" si="39"/>
        <v>31</v>
      </c>
      <c r="W84" s="640">
        <f t="shared" si="40"/>
        <v>0</v>
      </c>
      <c r="X84" s="636">
        <f t="shared" si="56"/>
        <v>0</v>
      </c>
      <c r="Y84" s="641"/>
      <c r="Z84" s="644"/>
      <c r="AA84" s="636"/>
      <c r="AB84" s="641">
        <f t="shared" si="43"/>
        <v>31</v>
      </c>
      <c r="AC84" s="640">
        <f t="shared" si="44"/>
        <v>1.7763568394002505E-15</v>
      </c>
      <c r="AD84" s="636">
        <f t="shared" si="58"/>
        <v>8.3999999999999986</v>
      </c>
      <c r="AE84" s="641"/>
      <c r="AF84" s="644"/>
      <c r="AG84" s="636"/>
      <c r="AH84" s="642">
        <f t="shared" si="47"/>
        <v>31</v>
      </c>
      <c r="AI84" s="640">
        <f t="shared" si="48"/>
        <v>4.2</v>
      </c>
      <c r="AJ84" s="636">
        <f t="shared" si="60"/>
        <v>4.2</v>
      </c>
      <c r="AK84" s="643"/>
    </row>
    <row r="85" spans="1:37" s="696" customFormat="1" ht="9" x14ac:dyDescent="0.15">
      <c r="A85" s="639"/>
      <c r="B85" s="644"/>
      <c r="C85" s="645"/>
      <c r="D85" s="641"/>
      <c r="E85" s="635"/>
      <c r="F85" s="645"/>
      <c r="G85" s="641"/>
      <c r="H85" s="635"/>
      <c r="I85" s="645"/>
      <c r="J85" s="641"/>
      <c r="K85" s="635"/>
      <c r="L85" s="645"/>
      <c r="M85" s="641"/>
      <c r="N85" s="635"/>
      <c r="O85" s="645"/>
      <c r="P85" s="641"/>
      <c r="Q85" s="635"/>
      <c r="R85" s="645"/>
      <c r="S85" s="641"/>
      <c r="T85" s="635"/>
      <c r="U85" s="645"/>
      <c r="V85" s="641"/>
      <c r="W85" s="635"/>
      <c r="X85" s="645"/>
      <c r="Y85" s="641"/>
      <c r="Z85" s="635"/>
      <c r="AA85" s="645"/>
      <c r="AB85" s="641"/>
      <c r="AC85" s="635"/>
      <c r="AD85" s="645"/>
      <c r="AE85" s="641"/>
      <c r="AF85" s="635"/>
      <c r="AG85" s="645"/>
      <c r="AH85" s="642"/>
      <c r="AI85" s="635"/>
      <c r="AJ85" s="646"/>
      <c r="AK85" s="643"/>
    </row>
    <row r="86" spans="1:37" s="696" customFormat="1" ht="9" x14ac:dyDescent="0.15">
      <c r="A86" s="639"/>
      <c r="B86" s="644"/>
      <c r="C86" s="636">
        <f>SUM(C54:C84)</f>
        <v>176.40000000000006</v>
      </c>
      <c r="D86" s="641"/>
      <c r="E86" s="635"/>
      <c r="F86" s="636">
        <f>SUM(F54:F84)</f>
        <v>176.40000000000006</v>
      </c>
      <c r="G86" s="641"/>
      <c r="H86" s="635"/>
      <c r="I86" s="636">
        <f>SUM(I54:I84)</f>
        <v>157.20000000000005</v>
      </c>
      <c r="J86" s="641"/>
      <c r="K86" s="635"/>
      <c r="L86" s="636">
        <f>SUM(L54:L84)</f>
        <v>182.40000000000006</v>
      </c>
      <c r="M86" s="641"/>
      <c r="N86" s="635"/>
      <c r="O86" s="636">
        <f>SUM(O54:O84)</f>
        <v>168.00000000000006</v>
      </c>
      <c r="P86" s="641"/>
      <c r="Q86" s="635"/>
      <c r="R86" s="636">
        <f>SUM(R54:R84)</f>
        <v>176.40000000000006</v>
      </c>
      <c r="S86" s="641"/>
      <c r="T86" s="635"/>
      <c r="U86" s="636">
        <f>SUM(U54:U84)</f>
        <v>193.20000000000007</v>
      </c>
      <c r="V86" s="641"/>
      <c r="W86" s="635"/>
      <c r="X86" s="636">
        <f>SUM(X54:X84)</f>
        <v>168.00000000000006</v>
      </c>
      <c r="Y86" s="641"/>
      <c r="Z86" s="635"/>
      <c r="AA86" s="636">
        <f>SUM(AA54:AA84)</f>
        <v>184.80000000000007</v>
      </c>
      <c r="AB86" s="641"/>
      <c r="AC86" s="635"/>
      <c r="AD86" s="636">
        <f>SUM(AD54:AD84)</f>
        <v>193.20000000000007</v>
      </c>
      <c r="AE86" s="641"/>
      <c r="AF86" s="635"/>
      <c r="AG86" s="636">
        <f>SUM(AG54:AG84)</f>
        <v>168.00000000000006</v>
      </c>
      <c r="AH86" s="642"/>
      <c r="AI86" s="635"/>
      <c r="AJ86" s="646">
        <f>SUM(AJ54:AJ84)</f>
        <v>168.00000000000003</v>
      </c>
      <c r="AK86" s="647">
        <f>SUM(A86:AJ86)</f>
        <v>2112.0000000000009</v>
      </c>
    </row>
    <row r="87" spans="1:37" s="697" customFormat="1" ht="9" x14ac:dyDescent="0.15">
      <c r="A87" s="648"/>
      <c r="B87" s="649">
        <f>COUNTIF(B54:B84,8.4)*8.4+COUNTIF(B54:B84,4.2)*4.2</f>
        <v>16.8</v>
      </c>
      <c r="C87" s="650"/>
      <c r="D87" s="651"/>
      <c r="E87" s="652">
        <f>COUNTIF(E54:E84,8.4)*8.4+COUNTIF(E54:E84,4.2)*4.2</f>
        <v>0</v>
      </c>
      <c r="F87" s="650"/>
      <c r="G87" s="651"/>
      <c r="H87" s="652">
        <f>COUNTIF(H54:H84,8.4)*8.4+COUNTIF(H54:H84,4.2)*4.2</f>
        <v>16.8</v>
      </c>
      <c r="I87" s="650"/>
      <c r="J87" s="651"/>
      <c r="K87" s="652">
        <f>COUNTIF(K54:K84,8.4)*8.4+COUNTIF(K54:K84,4.2)*4.2</f>
        <v>0</v>
      </c>
      <c r="L87" s="650"/>
      <c r="M87" s="651"/>
      <c r="N87" s="652">
        <f>COUNTIF(N54:N84,8.4)*8.4+COUNTIF(N54:N84,4.2)*4.2</f>
        <v>16.8</v>
      </c>
      <c r="O87" s="650"/>
      <c r="P87" s="651"/>
      <c r="Q87" s="652">
        <f>COUNTIF(Q54:Q84,8.4)*8.4+COUNTIF(Q54:Q84,4.2)*4.2</f>
        <v>0</v>
      </c>
      <c r="R87" s="650"/>
      <c r="S87" s="651"/>
      <c r="T87" s="652">
        <f>COUNTIF(T54:T84,8.4)*8.4+COUNTIF(T54:T84,4.2)*4.2</f>
        <v>0</v>
      </c>
      <c r="U87" s="650"/>
      <c r="V87" s="651"/>
      <c r="W87" s="652">
        <f>COUNTIF(W54:W84,8.4)*8.4+COUNTIF(W54:W84,4.2)*4.2</f>
        <v>8.4</v>
      </c>
      <c r="X87" s="650"/>
      <c r="Y87" s="651"/>
      <c r="Z87" s="652">
        <f>COUNTIF(Z54:Z84,8.4)*8.4+COUNTIF(Z54:Z84,4.2)*4.2</f>
        <v>0</v>
      </c>
      <c r="AA87" s="650"/>
      <c r="AB87" s="651"/>
      <c r="AC87" s="652">
        <f>COUNTIF(AC54:AC84,8.4)*8.4+COUNTIF(AC54:AC84,4.2)*4.2</f>
        <v>0</v>
      </c>
      <c r="AD87" s="650"/>
      <c r="AE87" s="651"/>
      <c r="AF87" s="652">
        <f>COUNTIF(AF54:AF84,8.4)*8.4+COUNTIF(AF54:AF84,4.2)*4.2</f>
        <v>0</v>
      </c>
      <c r="AG87" s="650"/>
      <c r="AH87" s="653"/>
      <c r="AI87" s="652">
        <f>COUNTIF(AI54:AI84,8.4)*8.4+COUNTIF(AI54:AI84,4.2)*4.2</f>
        <v>25.200000000000003</v>
      </c>
      <c r="AJ87" s="650"/>
      <c r="AK87" s="647">
        <f>SUM(A87:AJ87)</f>
        <v>84</v>
      </c>
    </row>
    <row r="88" spans="1:37" s="696" customFormat="1" ht="9" x14ac:dyDescent="0.15">
      <c r="A88" s="639"/>
      <c r="B88" s="649">
        <f>SUM(B54:B84)</f>
        <v>16.800000000000004</v>
      </c>
      <c r="C88" s="645"/>
      <c r="D88" s="641"/>
      <c r="E88" s="652">
        <f>SUM(E54:E84)</f>
        <v>3.730349362740526E-14</v>
      </c>
      <c r="F88" s="645"/>
      <c r="G88" s="641"/>
      <c r="H88" s="652">
        <f>SUM(H54:H84)</f>
        <v>19.200000000000024</v>
      </c>
      <c r="I88" s="645"/>
      <c r="J88" s="641"/>
      <c r="K88" s="652">
        <f>SUM(K54:K84)</f>
        <v>2.4000000000000377</v>
      </c>
      <c r="L88" s="645"/>
      <c r="M88" s="641"/>
      <c r="N88" s="652">
        <f>SUM(N54:N84)</f>
        <v>16.800000000000011</v>
      </c>
      <c r="O88" s="645"/>
      <c r="P88" s="641"/>
      <c r="Q88" s="652">
        <f>SUM(Q54:Q84)</f>
        <v>3.730349362740526E-14</v>
      </c>
      <c r="R88" s="645"/>
      <c r="S88" s="641"/>
      <c r="T88" s="652">
        <f>SUM(T54:T84)</f>
        <v>4.0856207306205761E-14</v>
      </c>
      <c r="U88" s="645"/>
      <c r="V88" s="641"/>
      <c r="W88" s="652">
        <f>SUM(W54:W84)</f>
        <v>8.4000000000000359</v>
      </c>
      <c r="X88" s="645"/>
      <c r="Y88" s="641"/>
      <c r="Z88" s="652">
        <f>SUM(Z54:Z84)</f>
        <v>3.907985046680551E-14</v>
      </c>
      <c r="AA88" s="645"/>
      <c r="AB88" s="641"/>
      <c r="AC88" s="652">
        <f>SUM(AC54:AC84)</f>
        <v>4.0856207306205761E-14</v>
      </c>
      <c r="AD88" s="645"/>
      <c r="AE88" s="641"/>
      <c r="AF88" s="652">
        <f>SUM(AF54:AF84)</f>
        <v>3.5527136788005009E-14</v>
      </c>
      <c r="AG88" s="645"/>
      <c r="AH88" s="642"/>
      <c r="AI88" s="652">
        <f>SUM(AI54:AI84)</f>
        <v>25.200000000000035</v>
      </c>
      <c r="AJ88" s="646"/>
      <c r="AK88" s="647">
        <f>SUM(A88:AJ88)</f>
        <v>88.800000000000381</v>
      </c>
    </row>
    <row r="89" spans="1:37" s="696" customFormat="1" ht="9" x14ac:dyDescent="0.15">
      <c r="A89" s="639"/>
      <c r="B89" s="644"/>
      <c r="C89" s="645"/>
      <c r="D89" s="641"/>
      <c r="E89" s="635"/>
      <c r="F89" s="645"/>
      <c r="G89" s="641"/>
      <c r="H89" s="635"/>
      <c r="I89" s="645"/>
      <c r="J89" s="641"/>
      <c r="K89" s="635"/>
      <c r="L89" s="645"/>
      <c r="M89" s="641"/>
      <c r="N89" s="635"/>
      <c r="O89" s="645"/>
      <c r="P89" s="641"/>
      <c r="Q89" s="635"/>
      <c r="R89" s="645"/>
      <c r="S89" s="641"/>
      <c r="T89" s="635"/>
      <c r="U89" s="645"/>
      <c r="V89" s="641"/>
      <c r="W89" s="635"/>
      <c r="X89" s="645"/>
      <c r="Y89" s="641"/>
      <c r="Z89" s="635"/>
      <c r="AA89" s="645"/>
      <c r="AB89" s="641"/>
      <c r="AC89" s="635"/>
      <c r="AD89" s="645"/>
      <c r="AE89" s="641"/>
      <c r="AF89" s="635"/>
      <c r="AG89" s="645"/>
      <c r="AH89" s="642"/>
      <c r="AI89" s="635"/>
      <c r="AJ89" s="646"/>
      <c r="AK89" s="643"/>
    </row>
    <row r="90" spans="1:37" s="696" customFormat="1" ht="9" x14ac:dyDescent="0.15">
      <c r="A90" s="639"/>
      <c r="B90" s="644"/>
      <c r="C90" s="645"/>
      <c r="D90" s="641"/>
      <c r="E90" s="635"/>
      <c r="F90" s="645"/>
      <c r="G90" s="641"/>
      <c r="H90" s="635"/>
      <c r="I90" s="645"/>
      <c r="J90" s="641"/>
      <c r="K90" s="635"/>
      <c r="L90" s="645"/>
      <c r="M90" s="641"/>
      <c r="N90" s="635"/>
      <c r="O90" s="645"/>
      <c r="P90" s="641"/>
      <c r="Q90" s="635"/>
      <c r="R90" s="645"/>
      <c r="S90" s="641"/>
      <c r="T90" s="635"/>
      <c r="U90" s="645"/>
      <c r="V90" s="641"/>
      <c r="W90" s="635"/>
      <c r="X90" s="645"/>
      <c r="Y90" s="641"/>
      <c r="Z90" s="635"/>
      <c r="AA90" s="645"/>
      <c r="AB90" s="641"/>
      <c r="AC90" s="635"/>
      <c r="AD90" s="645"/>
      <c r="AE90" s="641"/>
      <c r="AF90" s="635"/>
      <c r="AG90" s="645"/>
      <c r="AH90" s="642"/>
      <c r="AI90" s="635"/>
      <c r="AJ90" s="646"/>
      <c r="AK90" s="643"/>
    </row>
    <row r="91" spans="1:37" x14ac:dyDescent="0.2">
      <c r="A91" s="654"/>
      <c r="B91" s="655"/>
      <c r="C91" s="656"/>
      <c r="D91" s="657"/>
      <c r="E91" s="658"/>
      <c r="F91" s="656"/>
      <c r="G91" s="657"/>
      <c r="H91" s="658"/>
      <c r="I91" s="656"/>
      <c r="J91" s="657"/>
      <c r="K91" s="658"/>
      <c r="L91" s="656"/>
      <c r="M91" s="657"/>
      <c r="N91" s="658"/>
      <c r="O91" s="656"/>
      <c r="P91" s="657"/>
      <c r="Q91" s="658"/>
      <c r="R91" s="656"/>
      <c r="S91" s="657"/>
      <c r="T91" s="658"/>
      <c r="U91" s="656"/>
      <c r="V91" s="657"/>
      <c r="W91" s="658"/>
      <c r="X91" s="656"/>
      <c r="Y91" s="657"/>
      <c r="Z91" s="658"/>
      <c r="AA91" s="656"/>
      <c r="AB91" s="657"/>
      <c r="AC91" s="658"/>
      <c r="AD91" s="656"/>
      <c r="AE91" s="657"/>
      <c r="AF91" s="658"/>
      <c r="AG91" s="656"/>
      <c r="AH91" s="658"/>
      <c r="AI91" s="658"/>
      <c r="AJ91" s="659"/>
      <c r="AK91" s="656"/>
    </row>
    <row r="92" spans="1:37" hidden="1" x14ac:dyDescent="0.2">
      <c r="A92" s="654"/>
      <c r="B92" s="655"/>
      <c r="C92" s="656"/>
      <c r="D92" s="657"/>
      <c r="E92" s="658"/>
      <c r="F92" s="656"/>
      <c r="G92" s="657"/>
      <c r="H92" s="658"/>
      <c r="I92" s="656"/>
      <c r="J92" s="657"/>
      <c r="K92" s="658"/>
      <c r="L92" s="656"/>
      <c r="M92" s="657"/>
      <c r="N92" s="658"/>
      <c r="O92" s="656"/>
      <c r="P92" s="657"/>
      <c r="Q92" s="658"/>
      <c r="R92" s="656"/>
      <c r="S92" s="657"/>
      <c r="T92" s="658"/>
      <c r="U92" s="656"/>
      <c r="V92" s="657"/>
      <c r="W92" s="658"/>
      <c r="X92" s="656"/>
      <c r="Y92" s="657"/>
      <c r="Z92" s="658"/>
      <c r="AA92" s="656"/>
      <c r="AB92" s="657"/>
      <c r="AC92" s="658"/>
      <c r="AD92" s="656"/>
      <c r="AE92" s="657"/>
      <c r="AF92" s="658"/>
      <c r="AG92" s="656"/>
      <c r="AH92" s="658"/>
      <c r="AI92" s="658"/>
      <c r="AJ92" s="659"/>
      <c r="AK92" s="656"/>
    </row>
    <row r="93" spans="1:37" hidden="1" x14ac:dyDescent="0.2">
      <c r="A93" s="660"/>
      <c r="B93" s="661"/>
      <c r="C93" s="662">
        <f>225-11*(MOD($AK$1,19))</f>
        <v>82</v>
      </c>
      <c r="D93" s="660"/>
      <c r="E93" s="661"/>
      <c r="F93" s="662"/>
      <c r="G93" s="660"/>
      <c r="H93" s="661"/>
      <c r="I93" s="662"/>
      <c r="J93" s="660"/>
      <c r="K93" s="661"/>
      <c r="L93" s="662"/>
      <c r="M93" s="657"/>
      <c r="N93" s="658"/>
      <c r="O93" s="656"/>
      <c r="P93" s="657"/>
      <c r="Q93" s="658"/>
      <c r="R93" s="656"/>
      <c r="S93" s="657"/>
      <c r="T93" s="658"/>
      <c r="U93" s="656"/>
      <c r="V93" s="657"/>
      <c r="W93" s="658"/>
      <c r="X93" s="656"/>
      <c r="Y93" s="657"/>
      <c r="Z93" s="658"/>
      <c r="AA93" s="656"/>
      <c r="AB93" s="657"/>
      <c r="AC93" s="658"/>
      <c r="AD93" s="656"/>
      <c r="AE93" s="657"/>
      <c r="AF93" s="658"/>
      <c r="AG93" s="656"/>
      <c r="AH93" s="658"/>
      <c r="AI93" s="658"/>
      <c r="AJ93" s="659"/>
      <c r="AK93" s="656"/>
    </row>
    <row r="94" spans="1:37" hidden="1" x14ac:dyDescent="0.2">
      <c r="A94" s="660"/>
      <c r="B94" s="661"/>
      <c r="C94" s="662">
        <f>(MOD(C93-21,30)+21)</f>
        <v>22</v>
      </c>
      <c r="D94" s="660"/>
      <c r="E94" s="661"/>
      <c r="F94" s="662"/>
      <c r="G94" s="660"/>
      <c r="H94" s="661"/>
      <c r="I94" s="662"/>
      <c r="J94" s="660"/>
      <c r="K94" s="661"/>
      <c r="L94" s="662"/>
      <c r="M94" s="657"/>
      <c r="N94" s="658"/>
      <c r="O94" s="656"/>
      <c r="P94" s="657"/>
      <c r="Q94" s="658"/>
      <c r="R94" s="656"/>
      <c r="S94" s="657"/>
      <c r="T94" s="658"/>
      <c r="U94" s="656"/>
      <c r="V94" s="657"/>
      <c r="W94" s="658"/>
      <c r="X94" s="656"/>
      <c r="Y94" s="657"/>
      <c r="Z94" s="658"/>
      <c r="AA94" s="656"/>
      <c r="AB94" s="657"/>
      <c r="AC94" s="658"/>
      <c r="AD94" s="656"/>
      <c r="AE94" s="657"/>
      <c r="AF94" s="658"/>
      <c r="AG94" s="656"/>
      <c r="AH94" s="658"/>
      <c r="AI94" s="658"/>
      <c r="AJ94" s="659"/>
      <c r="AK94" s="656"/>
    </row>
    <row r="95" spans="1:37" hidden="1" x14ac:dyDescent="0.2">
      <c r="A95" s="660"/>
      <c r="B95" s="661"/>
      <c r="C95" s="662">
        <f>IF(C94&gt;48,C94-1,C94)</f>
        <v>22</v>
      </c>
      <c r="D95" s="660"/>
      <c r="E95" s="661"/>
      <c r="F95" s="662"/>
      <c r="G95" s="660"/>
      <c r="H95" s="661"/>
      <c r="I95" s="662"/>
      <c r="J95" s="660"/>
      <c r="K95" s="661"/>
      <c r="L95" s="662"/>
      <c r="M95" s="657"/>
      <c r="N95" s="658"/>
      <c r="O95" s="656"/>
      <c r="P95" s="657"/>
      <c r="Q95" s="658"/>
      <c r="R95" s="656"/>
      <c r="S95" s="657"/>
      <c r="T95" s="658"/>
      <c r="U95" s="656"/>
      <c r="V95" s="657"/>
      <c r="W95" s="658"/>
      <c r="X95" s="656"/>
      <c r="Y95" s="657"/>
      <c r="Z95" s="658"/>
      <c r="AA95" s="656"/>
      <c r="AB95" s="657"/>
      <c r="AC95" s="658"/>
      <c r="AD95" s="656"/>
      <c r="AE95" s="657"/>
      <c r="AF95" s="658"/>
      <c r="AG95" s="656"/>
      <c r="AH95" s="658"/>
      <c r="AI95" s="658"/>
      <c r="AJ95" s="659"/>
      <c r="AK95" s="656"/>
    </row>
    <row r="96" spans="1:37" hidden="1" x14ac:dyDescent="0.2">
      <c r="A96" s="660"/>
      <c r="B96" s="661"/>
      <c r="C96" s="662">
        <f>MOD(($AK$1+INT($AK$1/4)+C94+1),7)</f>
        <v>6</v>
      </c>
      <c r="D96" s="660"/>
      <c r="E96" s="661"/>
      <c r="F96" s="662"/>
      <c r="G96" s="660"/>
      <c r="H96" s="661"/>
      <c r="I96" s="662"/>
      <c r="J96" s="660"/>
      <c r="K96" s="661"/>
      <c r="L96" s="662"/>
      <c r="M96" s="657"/>
      <c r="N96" s="658"/>
      <c r="O96" s="656"/>
      <c r="P96" s="657"/>
      <c r="Q96" s="658"/>
      <c r="R96" s="656"/>
      <c r="S96" s="657"/>
      <c r="T96" s="658"/>
      <c r="U96" s="656"/>
      <c r="V96" s="657"/>
      <c r="W96" s="658"/>
      <c r="X96" s="656"/>
      <c r="Y96" s="657"/>
      <c r="Z96" s="658"/>
      <c r="AA96" s="656"/>
      <c r="AB96" s="657"/>
      <c r="AC96" s="658"/>
      <c r="AD96" s="656"/>
      <c r="AE96" s="657"/>
      <c r="AF96" s="658"/>
      <c r="AG96" s="656"/>
      <c r="AH96" s="658"/>
      <c r="AI96" s="658"/>
      <c r="AJ96" s="659"/>
      <c r="AK96" s="656"/>
    </row>
    <row r="97" spans="1:37" hidden="1" x14ac:dyDescent="0.2">
      <c r="A97" s="660"/>
      <c r="B97" s="661"/>
      <c r="C97" s="662">
        <f>C94+7-C96</f>
        <v>23</v>
      </c>
      <c r="D97" s="660"/>
      <c r="E97" s="661"/>
      <c r="F97" s="662"/>
      <c r="G97" s="660"/>
      <c r="H97" s="661"/>
      <c r="I97" s="662"/>
      <c r="J97" s="660"/>
      <c r="K97" s="661"/>
      <c r="L97" s="662"/>
      <c r="M97" s="657"/>
      <c r="N97" s="658"/>
      <c r="O97" s="656"/>
      <c r="P97" s="657"/>
      <c r="Q97" s="658"/>
      <c r="R97" s="656"/>
      <c r="S97" s="657"/>
      <c r="T97" s="658"/>
      <c r="U97" s="656"/>
      <c r="V97" s="657"/>
      <c r="W97" s="658"/>
      <c r="X97" s="656"/>
      <c r="Y97" s="657"/>
      <c r="Z97" s="658"/>
      <c r="AA97" s="656"/>
      <c r="AB97" s="657"/>
      <c r="AC97" s="658"/>
      <c r="AD97" s="656"/>
      <c r="AE97" s="657"/>
      <c r="AF97" s="658"/>
      <c r="AG97" s="656"/>
      <c r="AH97" s="658"/>
      <c r="AI97" s="658"/>
      <c r="AJ97" s="659"/>
      <c r="AK97" s="656"/>
    </row>
    <row r="98" spans="1:37" hidden="1" x14ac:dyDescent="0.2">
      <c r="A98" s="660"/>
      <c r="B98" s="661"/>
      <c r="C98" s="662">
        <f>IF(C97&lt;32,3,4)</f>
        <v>3</v>
      </c>
      <c r="D98" s="660"/>
      <c r="E98" s="661"/>
      <c r="F98" s="662"/>
      <c r="G98" s="660"/>
      <c r="H98" s="661"/>
      <c r="I98" s="662"/>
      <c r="J98" s="660"/>
      <c r="K98" s="661"/>
      <c r="L98" s="662"/>
      <c r="M98" s="657"/>
      <c r="N98" s="658"/>
      <c r="O98" s="656"/>
      <c r="P98" s="657"/>
      <c r="Q98" s="658"/>
      <c r="R98" s="656"/>
      <c r="S98" s="657"/>
      <c r="T98" s="658"/>
      <c r="U98" s="656"/>
      <c r="V98" s="657"/>
      <c r="W98" s="658"/>
      <c r="X98" s="656"/>
      <c r="Y98" s="657"/>
      <c r="Z98" s="658"/>
      <c r="AA98" s="656"/>
      <c r="AB98" s="657"/>
      <c r="AC98" s="658"/>
      <c r="AD98" s="656"/>
      <c r="AE98" s="657"/>
      <c r="AF98" s="658"/>
      <c r="AG98" s="656"/>
      <c r="AH98" s="658"/>
      <c r="AI98" s="658"/>
      <c r="AJ98" s="659"/>
      <c r="AK98" s="656"/>
    </row>
    <row r="99" spans="1:37" hidden="1" x14ac:dyDescent="0.2">
      <c r="A99" s="660"/>
      <c r="B99" s="661"/>
      <c r="C99" s="662">
        <f>IF(C97&lt;32,C97,C97-31)</f>
        <v>23</v>
      </c>
      <c r="D99" s="660"/>
      <c r="E99" s="661"/>
      <c r="F99" s="662"/>
      <c r="G99" s="660"/>
      <c r="H99" s="661"/>
      <c r="I99" s="662"/>
      <c r="J99" s="660"/>
      <c r="K99" s="661"/>
      <c r="L99" s="662"/>
      <c r="M99" s="657"/>
      <c r="N99" s="658"/>
      <c r="O99" s="656"/>
      <c r="P99" s="657"/>
      <c r="Q99" s="658"/>
      <c r="R99" s="656"/>
      <c r="S99" s="657"/>
      <c r="T99" s="658"/>
      <c r="U99" s="656"/>
      <c r="V99" s="657"/>
      <c r="W99" s="658"/>
      <c r="X99" s="656"/>
      <c r="Y99" s="657"/>
      <c r="Z99" s="658"/>
      <c r="AA99" s="656"/>
      <c r="AB99" s="657"/>
      <c r="AC99" s="658"/>
      <c r="AD99" s="656"/>
      <c r="AE99" s="657"/>
      <c r="AF99" s="658"/>
      <c r="AG99" s="656"/>
      <c r="AH99" s="658"/>
      <c r="AI99" s="658"/>
      <c r="AJ99" s="659"/>
      <c r="AK99" s="656"/>
    </row>
    <row r="100" spans="1:37" hidden="1" x14ac:dyDescent="0.2">
      <c r="A100" s="660"/>
      <c r="B100" s="661"/>
      <c r="C100" s="662"/>
      <c r="D100" s="660"/>
      <c r="E100" s="661"/>
      <c r="F100" s="662"/>
      <c r="G100" s="660"/>
      <c r="H100" s="661"/>
      <c r="I100" s="662"/>
      <c r="J100" s="660"/>
      <c r="K100" s="661"/>
      <c r="L100" s="662"/>
      <c r="M100" s="657"/>
      <c r="N100" s="658"/>
      <c r="O100" s="656"/>
      <c r="P100" s="657"/>
      <c r="Q100" s="658"/>
      <c r="R100" s="656"/>
      <c r="S100" s="657"/>
      <c r="T100" s="658"/>
      <c r="U100" s="656"/>
      <c r="V100" s="657"/>
      <c r="W100" s="658"/>
      <c r="X100" s="656"/>
      <c r="Y100" s="657"/>
      <c r="Z100" s="658"/>
      <c r="AA100" s="656"/>
      <c r="AB100" s="657"/>
      <c r="AC100" s="658"/>
      <c r="AD100" s="656"/>
      <c r="AE100" s="657"/>
      <c r="AF100" s="658"/>
      <c r="AG100" s="656"/>
      <c r="AH100" s="658"/>
      <c r="AI100" s="658"/>
      <c r="AJ100" s="659"/>
      <c r="AK100" s="656"/>
    </row>
    <row r="101" spans="1:37" x14ac:dyDescent="0.2">
      <c r="A101" s="660"/>
      <c r="B101" s="661"/>
      <c r="C101" s="662"/>
      <c r="D101" s="660"/>
      <c r="E101" s="661"/>
      <c r="F101" s="662"/>
      <c r="G101" s="660"/>
      <c r="H101" s="661"/>
      <c r="I101" s="662"/>
      <c r="J101" s="660"/>
      <c r="K101" s="661"/>
      <c r="L101" s="662"/>
      <c r="M101" s="657"/>
      <c r="N101" s="658"/>
      <c r="O101" s="656"/>
      <c r="P101" s="657"/>
      <c r="Q101" s="658"/>
      <c r="R101" s="656"/>
      <c r="S101" s="657"/>
      <c r="T101" s="658"/>
      <c r="U101" s="656"/>
      <c r="V101" s="657"/>
      <c r="W101" s="658"/>
      <c r="X101" s="656"/>
      <c r="Y101" s="657"/>
      <c r="Z101" s="658"/>
      <c r="AA101" s="656"/>
      <c r="AB101" s="657"/>
      <c r="AC101" s="658"/>
      <c r="AD101" s="656"/>
      <c r="AE101" s="657"/>
      <c r="AF101" s="658"/>
      <c r="AG101" s="656"/>
      <c r="AH101" s="658"/>
      <c r="AI101" s="658"/>
      <c r="AJ101" s="659"/>
      <c r="AK101" s="656"/>
    </row>
    <row r="102" spans="1:37" x14ac:dyDescent="0.2">
      <c r="A102" s="1257"/>
      <c r="B102" s="1257"/>
      <c r="C102" s="1257"/>
      <c r="D102" s="1257"/>
      <c r="E102" s="661"/>
      <c r="F102" s="662"/>
      <c r="G102" s="663"/>
      <c r="H102" s="664"/>
      <c r="I102" s="665"/>
      <c r="J102" s="663"/>
      <c r="K102" s="664"/>
      <c r="L102" s="662"/>
      <c r="M102" s="657"/>
      <c r="N102" s="658"/>
      <c r="O102" s="656"/>
      <c r="P102" s="657"/>
      <c r="Q102" s="658"/>
      <c r="R102" s="656"/>
      <c r="S102" s="657"/>
      <c r="T102" s="658"/>
      <c r="U102" s="656"/>
      <c r="V102" s="657"/>
      <c r="W102" s="658"/>
      <c r="X102" s="656"/>
      <c r="Y102" s="657"/>
      <c r="Z102" s="658"/>
      <c r="AA102" s="656"/>
      <c r="AB102" s="657"/>
      <c r="AC102" s="658"/>
      <c r="AD102" s="656"/>
      <c r="AE102" s="657"/>
      <c r="AF102" s="658"/>
      <c r="AG102" s="656"/>
      <c r="AH102" s="658"/>
      <c r="AI102" s="658"/>
      <c r="AJ102" s="659"/>
      <c r="AK102" s="656"/>
    </row>
    <row r="103" spans="1:37" x14ac:dyDescent="0.2">
      <c r="A103" s="666"/>
      <c r="B103" s="667"/>
      <c r="D103" s="669"/>
      <c r="E103" s="670"/>
      <c r="F103" s="671"/>
      <c r="G103" s="670"/>
      <c r="H103" s="670"/>
      <c r="I103" s="672"/>
    </row>
    <row r="104" spans="1:37" x14ac:dyDescent="0.2">
      <c r="A104" s="1256">
        <f>DATE($AK$1,1,1)</f>
        <v>37986</v>
      </c>
      <c r="B104" s="1257"/>
      <c r="C104" s="1257"/>
      <c r="D104" s="676">
        <f t="shared" ref="D104:D119" si="61">IF(A104="","",A104)</f>
        <v>37986</v>
      </c>
      <c r="E104" s="677"/>
      <c r="F104" s="678">
        <f>IF(OR(WEEKDAY(A104)=1,WEEKDAY(A104)=7),"",0)</f>
        <v>0</v>
      </c>
      <c r="G104" s="679"/>
      <c r="H104" s="1258" t="s">
        <v>141</v>
      </c>
      <c r="I104" s="1258"/>
      <c r="J104" s="1258"/>
      <c r="K104" s="680"/>
    </row>
    <row r="105" spans="1:37" x14ac:dyDescent="0.2">
      <c r="A105" s="1256">
        <f>DATE($AK$1,1,2)</f>
        <v>37987</v>
      </c>
      <c r="B105" s="1257"/>
      <c r="C105" s="1257"/>
      <c r="D105" s="676">
        <f t="shared" si="61"/>
        <v>37987</v>
      </c>
      <c r="E105" s="677"/>
      <c r="F105" s="678">
        <f t="shared" ref="F105:F118" si="62">IF(OR(WEEKDAY(A105)=1,WEEKDAY(A105)=7),"",0)</f>
        <v>0</v>
      </c>
      <c r="G105" s="679"/>
      <c r="H105" s="1258" t="s">
        <v>465</v>
      </c>
      <c r="I105" s="1258"/>
      <c r="J105" s="1258"/>
      <c r="K105" s="680"/>
    </row>
    <row r="106" spans="1:37" x14ac:dyDescent="0.2">
      <c r="A106" s="1256">
        <f>A108-3</f>
        <v>38065</v>
      </c>
      <c r="B106" s="1257"/>
      <c r="C106" s="1257"/>
      <c r="D106" s="676">
        <f t="shared" si="61"/>
        <v>38065</v>
      </c>
      <c r="E106" s="677"/>
      <c r="F106" s="678">
        <f>IF(OR(WEEKDAY(A106)=1,WEEKDAY(A106)=7),"",0.25)</f>
        <v>0.25</v>
      </c>
      <c r="G106" s="679"/>
      <c r="H106" s="1258" t="s">
        <v>144</v>
      </c>
      <c r="I106" s="1258"/>
      <c r="J106" s="1258"/>
      <c r="K106" s="680"/>
    </row>
    <row r="107" spans="1:37" x14ac:dyDescent="0.2">
      <c r="A107" s="1256">
        <f>A108-2</f>
        <v>38066</v>
      </c>
      <c r="B107" s="1257"/>
      <c r="C107" s="1257"/>
      <c r="D107" s="676">
        <f t="shared" si="61"/>
        <v>38066</v>
      </c>
      <c r="E107" s="677"/>
      <c r="F107" s="678">
        <f t="shared" si="62"/>
        <v>0</v>
      </c>
      <c r="G107" s="679"/>
      <c r="H107" s="1258" t="s">
        <v>146</v>
      </c>
      <c r="I107" s="1258"/>
      <c r="J107" s="1258"/>
      <c r="K107" s="680"/>
    </row>
    <row r="108" spans="1:37" x14ac:dyDescent="0.2">
      <c r="A108" s="1256">
        <f>DATE($AK$1,C98,C99)</f>
        <v>38068</v>
      </c>
      <c r="B108" s="1257"/>
      <c r="C108" s="1257"/>
      <c r="D108" s="676">
        <f t="shared" si="61"/>
        <v>38068</v>
      </c>
      <c r="E108" s="677"/>
      <c r="F108" s="678" t="str">
        <f t="shared" si="62"/>
        <v/>
      </c>
      <c r="G108" s="679"/>
      <c r="H108" s="1258" t="s">
        <v>466</v>
      </c>
      <c r="I108" s="1258"/>
      <c r="J108" s="1258"/>
      <c r="K108" s="680"/>
    </row>
    <row r="109" spans="1:37" x14ac:dyDescent="0.2">
      <c r="A109" s="1256">
        <f>A108+1</f>
        <v>38069</v>
      </c>
      <c r="B109" s="1257"/>
      <c r="C109" s="1257"/>
      <c r="D109" s="676">
        <f t="shared" si="61"/>
        <v>38069</v>
      </c>
      <c r="E109" s="677"/>
      <c r="F109" s="678">
        <f t="shared" si="62"/>
        <v>0</v>
      </c>
      <c r="G109" s="679"/>
      <c r="H109" s="1258" t="s">
        <v>148</v>
      </c>
      <c r="I109" s="1258"/>
      <c r="J109" s="1258"/>
      <c r="K109" s="680"/>
    </row>
    <row r="110" spans="1:37" x14ac:dyDescent="0.2">
      <c r="A110" s="1256">
        <f>DATE($AK$1,5,1)</f>
        <v>38107</v>
      </c>
      <c r="B110" s="1257"/>
      <c r="C110" s="1257"/>
      <c r="D110" s="676">
        <f t="shared" si="61"/>
        <v>38107</v>
      </c>
      <c r="E110" s="677"/>
      <c r="F110" s="678">
        <f t="shared" si="62"/>
        <v>0</v>
      </c>
      <c r="G110" s="679"/>
      <c r="H110" s="1260" t="s">
        <v>467</v>
      </c>
      <c r="I110" s="1258"/>
      <c r="J110" s="1258"/>
      <c r="K110" s="680"/>
    </row>
    <row r="111" spans="1:37" x14ac:dyDescent="0.2">
      <c r="A111" s="1256">
        <f>A112-1</f>
        <v>38106</v>
      </c>
      <c r="B111" s="1257"/>
      <c r="C111" s="1257"/>
      <c r="D111" s="676">
        <f t="shared" si="61"/>
        <v>38106</v>
      </c>
      <c r="E111" s="677"/>
      <c r="F111" s="678">
        <v>0.25</v>
      </c>
      <c r="G111" s="679"/>
      <c r="H111" s="1258" t="s">
        <v>468</v>
      </c>
      <c r="I111" s="1258"/>
      <c r="J111" s="1258"/>
      <c r="K111" s="680"/>
    </row>
    <row r="112" spans="1:37" x14ac:dyDescent="0.2">
      <c r="A112" s="1256">
        <f>A113-10</f>
        <v>38107</v>
      </c>
      <c r="B112" s="1257"/>
      <c r="C112" s="1257"/>
      <c r="D112" s="676">
        <f t="shared" si="61"/>
        <v>38107</v>
      </c>
      <c r="E112" s="677"/>
      <c r="F112" s="678">
        <f t="shared" si="62"/>
        <v>0</v>
      </c>
      <c r="G112" s="679"/>
      <c r="H112" s="1258" t="s">
        <v>151</v>
      </c>
      <c r="I112" s="1258"/>
      <c r="J112" s="1258"/>
      <c r="K112" s="680"/>
    </row>
    <row r="113" spans="1:11" x14ac:dyDescent="0.2">
      <c r="A113" s="1256">
        <f>A108+49</f>
        <v>38117</v>
      </c>
      <c r="B113" s="1257"/>
      <c r="C113" s="1257"/>
      <c r="D113" s="676">
        <f t="shared" si="61"/>
        <v>38117</v>
      </c>
      <c r="E113" s="677"/>
      <c r="F113" s="678" t="str">
        <f t="shared" si="62"/>
        <v/>
      </c>
      <c r="G113" s="679"/>
      <c r="H113" s="1258" t="s">
        <v>469</v>
      </c>
      <c r="I113" s="1258"/>
      <c r="J113" s="1258"/>
      <c r="K113" s="680"/>
    </row>
    <row r="114" spans="1:11" x14ac:dyDescent="0.2">
      <c r="A114" s="1256">
        <f>A113+1</f>
        <v>38118</v>
      </c>
      <c r="B114" s="1257"/>
      <c r="C114" s="1257"/>
      <c r="D114" s="676">
        <f t="shared" si="61"/>
        <v>38118</v>
      </c>
      <c r="E114" s="677"/>
      <c r="F114" s="678">
        <f t="shared" si="62"/>
        <v>0</v>
      </c>
      <c r="G114" s="679"/>
      <c r="H114" s="1258" t="s">
        <v>152</v>
      </c>
      <c r="I114" s="1258"/>
      <c r="J114" s="1258"/>
      <c r="K114" s="680"/>
    </row>
    <row r="115" spans="1:11" x14ac:dyDescent="0.2">
      <c r="A115" s="1256">
        <f>DATE($AK$1,8,1)</f>
        <v>38199</v>
      </c>
      <c r="B115" s="1257"/>
      <c r="C115" s="1257"/>
      <c r="D115" s="676">
        <f t="shared" si="61"/>
        <v>38199</v>
      </c>
      <c r="E115" s="677"/>
      <c r="F115" s="678">
        <f t="shared" si="62"/>
        <v>0</v>
      </c>
      <c r="G115" s="679"/>
      <c r="H115" s="1259" t="s">
        <v>470</v>
      </c>
      <c r="I115" s="1258"/>
      <c r="J115" s="1258"/>
      <c r="K115" s="680"/>
    </row>
    <row r="116" spans="1:11" x14ac:dyDescent="0.2">
      <c r="A116" s="1256">
        <f>DATE($AK$1,12,24)</f>
        <v>38344</v>
      </c>
      <c r="B116" s="1257"/>
      <c r="C116" s="1257"/>
      <c r="D116" s="676">
        <f t="shared" si="61"/>
        <v>38344</v>
      </c>
      <c r="E116" s="677"/>
      <c r="F116" s="678"/>
      <c r="G116" s="679"/>
      <c r="H116" s="1258" t="s">
        <v>154</v>
      </c>
      <c r="I116" s="1258"/>
      <c r="J116" s="1258"/>
      <c r="K116" s="680"/>
    </row>
    <row r="117" spans="1:11" x14ac:dyDescent="0.2">
      <c r="A117" s="1256">
        <f>DATE($AK$1,12,25)</f>
        <v>38345</v>
      </c>
      <c r="B117" s="1257"/>
      <c r="C117" s="1257"/>
      <c r="D117" s="676">
        <f t="shared" si="61"/>
        <v>38345</v>
      </c>
      <c r="E117" s="677"/>
      <c r="F117" s="678">
        <f t="shared" si="62"/>
        <v>0</v>
      </c>
      <c r="G117" s="679"/>
      <c r="H117" s="1258" t="s">
        <v>155</v>
      </c>
      <c r="I117" s="1258"/>
      <c r="J117" s="1258"/>
      <c r="K117" s="680"/>
    </row>
    <row r="118" spans="1:11" x14ac:dyDescent="0.2">
      <c r="A118" s="1256">
        <f>DATE($AK$1,12,26)</f>
        <v>38346</v>
      </c>
      <c r="B118" s="1257"/>
      <c r="C118" s="1257"/>
      <c r="D118" s="676">
        <f t="shared" si="61"/>
        <v>38346</v>
      </c>
      <c r="E118" s="677"/>
      <c r="F118" s="678">
        <f t="shared" si="62"/>
        <v>0</v>
      </c>
      <c r="G118" s="679"/>
      <c r="H118" s="1258" t="s">
        <v>471</v>
      </c>
      <c r="I118" s="1258"/>
      <c r="J118" s="1258"/>
      <c r="K118" s="680"/>
    </row>
    <row r="119" spans="1:11" x14ac:dyDescent="0.2">
      <c r="A119" s="1256">
        <f>DATE($AK$1,12,31)</f>
        <v>38351</v>
      </c>
      <c r="B119" s="1257"/>
      <c r="C119" s="1257"/>
      <c r="D119" s="676">
        <f t="shared" si="61"/>
        <v>38351</v>
      </c>
      <c r="E119" s="677"/>
      <c r="F119" s="678"/>
      <c r="G119" s="679"/>
      <c r="H119" s="1258" t="s">
        <v>157</v>
      </c>
      <c r="I119" s="1258"/>
      <c r="J119" s="1258"/>
      <c r="K119" s="680"/>
    </row>
    <row r="121" spans="1:11" x14ac:dyDescent="0.2">
      <c r="A121" s="683"/>
      <c r="B121" s="684"/>
      <c r="C121" s="685"/>
      <c r="D121" s="686"/>
    </row>
    <row r="122" spans="1:11" x14ac:dyDescent="0.2">
      <c r="A122" s="683"/>
      <c r="B122" s="687"/>
      <c r="C122" s="685"/>
      <c r="D122" s="688"/>
    </row>
    <row r="123" spans="1:11" ht="12.75" x14ac:dyDescent="0.2">
      <c r="A123" s="689">
        <v>1</v>
      </c>
      <c r="B123" s="689" t="s">
        <v>472</v>
      </c>
      <c r="C123" s="690"/>
      <c r="D123" s="691">
        <v>0.34722222222222227</v>
      </c>
    </row>
    <row r="124" spans="1:11" ht="12.75" x14ac:dyDescent="0.2">
      <c r="A124" s="689">
        <v>2</v>
      </c>
      <c r="B124" s="689" t="s">
        <v>147</v>
      </c>
      <c r="C124" s="690">
        <v>0.35</v>
      </c>
      <c r="D124" s="691">
        <v>0.34722222222222227</v>
      </c>
    </row>
    <row r="125" spans="1:11" ht="12.75" x14ac:dyDescent="0.2">
      <c r="A125" s="689">
        <v>3</v>
      </c>
      <c r="B125" s="689" t="s">
        <v>456</v>
      </c>
      <c r="C125" s="690">
        <v>0.35</v>
      </c>
      <c r="D125" s="691">
        <v>0.34722222222222227</v>
      </c>
    </row>
    <row r="126" spans="1:11" ht="12.75" x14ac:dyDescent="0.2">
      <c r="A126" s="689">
        <v>4</v>
      </c>
      <c r="B126" s="689" t="s">
        <v>140</v>
      </c>
      <c r="C126" s="690">
        <v>0.35</v>
      </c>
      <c r="D126" s="691">
        <v>0.34722222222222227</v>
      </c>
    </row>
    <row r="127" spans="1:11" ht="12.75" x14ac:dyDescent="0.2">
      <c r="A127" s="689">
        <v>5</v>
      </c>
      <c r="B127" s="689" t="s">
        <v>142</v>
      </c>
      <c r="C127" s="690">
        <v>0.35</v>
      </c>
      <c r="D127" s="691">
        <v>0.34722222222222227</v>
      </c>
    </row>
    <row r="128" spans="1:11" ht="12.75" x14ac:dyDescent="0.2">
      <c r="A128" s="689">
        <v>6</v>
      </c>
      <c r="B128" s="689" t="s">
        <v>145</v>
      </c>
      <c r="C128" s="690">
        <v>0.35</v>
      </c>
      <c r="D128" s="691">
        <v>0.34722222222222227</v>
      </c>
    </row>
    <row r="129" spans="1:4" ht="12.75" x14ac:dyDescent="0.2">
      <c r="A129" s="689">
        <v>7</v>
      </c>
      <c r="B129" s="689" t="s">
        <v>473</v>
      </c>
      <c r="C129" s="690"/>
      <c r="D129" s="691"/>
    </row>
    <row r="130" spans="1:4" ht="12.75" x14ac:dyDescent="0.2">
      <c r="A130" s="683"/>
      <c r="B130" s="687"/>
      <c r="C130" s="691">
        <f>SUM(C123:C129)</f>
        <v>1.75</v>
      </c>
      <c r="D130" s="691">
        <f>SUM(D123:D129)</f>
        <v>2.0833333333333335</v>
      </c>
    </row>
    <row r="131" spans="1:4" ht="12.75" x14ac:dyDescent="0.2">
      <c r="A131" s="683">
        <v>5</v>
      </c>
      <c r="B131" s="687" t="s">
        <v>474</v>
      </c>
      <c r="C131" s="691">
        <f>C130/A131</f>
        <v>0.35</v>
      </c>
      <c r="D131" s="691">
        <f>D130/A131</f>
        <v>0.41666666666666669</v>
      </c>
    </row>
  </sheetData>
  <sheetProtection algorithmName="SHA-512" hashValue="3ODRDKQsqPpaFUykt+6weJJ5qxFGUA2TyCx9OBos+4V3RwRRdgj1CU0Dcdcxyjrp2bAgU743hZgcPqIb4nt91A==" saltValue="BpREUTCZWmuO9wOeGu6liA==" spinCount="100000" sheet="1" selectLockedCells="1"/>
  <mergeCells count="105">
    <mergeCell ref="AH36:AJ36"/>
    <mergeCell ref="AH35:AJ35"/>
    <mergeCell ref="AH38:AJ38"/>
    <mergeCell ref="AH37:AJ37"/>
    <mergeCell ref="AH33:AJ33"/>
    <mergeCell ref="AH34:AJ34"/>
    <mergeCell ref="AB34:AD34"/>
    <mergeCell ref="AE35:AG35"/>
    <mergeCell ref="AB35:AD35"/>
    <mergeCell ref="AB33:AD33"/>
    <mergeCell ref="AE33:AG33"/>
    <mergeCell ref="AE34:AG34"/>
    <mergeCell ref="V38:X38"/>
    <mergeCell ref="AE38:AG38"/>
    <mergeCell ref="Y36:AA36"/>
    <mergeCell ref="AB37:AD37"/>
    <mergeCell ref="V36:X36"/>
    <mergeCell ref="V37:X37"/>
    <mergeCell ref="AE37:AG37"/>
    <mergeCell ref="AB36:AD36"/>
    <mergeCell ref="AE36:AG36"/>
    <mergeCell ref="Y38:AA38"/>
    <mergeCell ref="Y37:AA37"/>
    <mergeCell ref="AB38:AD38"/>
    <mergeCell ref="Y34:AA34"/>
    <mergeCell ref="V34:X34"/>
    <mergeCell ref="G33:I33"/>
    <mergeCell ref="G34:I34"/>
    <mergeCell ref="M33:O33"/>
    <mergeCell ref="M34:O34"/>
    <mergeCell ref="V33:X33"/>
    <mergeCell ref="Y33:AA33"/>
    <mergeCell ref="V35:X35"/>
    <mergeCell ref="Y35:AA35"/>
    <mergeCell ref="S38:U38"/>
    <mergeCell ref="S34:U34"/>
    <mergeCell ref="P33:R33"/>
    <mergeCell ref="P34:R34"/>
    <mergeCell ref="P35:R35"/>
    <mergeCell ref="P36:R36"/>
    <mergeCell ref="S35:U35"/>
    <mergeCell ref="S33:U33"/>
    <mergeCell ref="S36:U36"/>
    <mergeCell ref="S37:U37"/>
    <mergeCell ref="P38:R38"/>
    <mergeCell ref="P37:R37"/>
    <mergeCell ref="D36:F36"/>
    <mergeCell ref="G35:I35"/>
    <mergeCell ref="D35:F35"/>
    <mergeCell ref="M36:O36"/>
    <mergeCell ref="M38:O38"/>
    <mergeCell ref="A106:C106"/>
    <mergeCell ref="A107:C107"/>
    <mergeCell ref="D33:F33"/>
    <mergeCell ref="J36:L36"/>
    <mergeCell ref="M35:O35"/>
    <mergeCell ref="A34:C34"/>
    <mergeCell ref="G36:I36"/>
    <mergeCell ref="J33:L33"/>
    <mergeCell ref="J34:L34"/>
    <mergeCell ref="A36:C36"/>
    <mergeCell ref="A33:C33"/>
    <mergeCell ref="D34:F34"/>
    <mergeCell ref="A35:C35"/>
    <mergeCell ref="J35:L35"/>
    <mergeCell ref="A108:C108"/>
    <mergeCell ref="A109:C109"/>
    <mergeCell ref="M37:O37"/>
    <mergeCell ref="A37:C37"/>
    <mergeCell ref="G37:I37"/>
    <mergeCell ref="H106:J106"/>
    <mergeCell ref="H107:J107"/>
    <mergeCell ref="H108:J108"/>
    <mergeCell ref="A102:D102"/>
    <mergeCell ref="A104:C104"/>
    <mergeCell ref="A105:C105"/>
    <mergeCell ref="H104:J104"/>
    <mergeCell ref="H105:J105"/>
    <mergeCell ref="J38:L38"/>
    <mergeCell ref="A38:B38"/>
    <mergeCell ref="J37:L37"/>
    <mergeCell ref="G38:I38"/>
    <mergeCell ref="D37:F37"/>
    <mergeCell ref="D38:F38"/>
    <mergeCell ref="A114:C114"/>
    <mergeCell ref="H109:J109"/>
    <mergeCell ref="H110:J110"/>
    <mergeCell ref="H111:J111"/>
    <mergeCell ref="H112:J112"/>
    <mergeCell ref="H114:J114"/>
    <mergeCell ref="H113:J113"/>
    <mergeCell ref="A110:C110"/>
    <mergeCell ref="A111:C111"/>
    <mergeCell ref="A113:C113"/>
    <mergeCell ref="A112:C112"/>
    <mergeCell ref="A119:C119"/>
    <mergeCell ref="A115:C115"/>
    <mergeCell ref="A116:C116"/>
    <mergeCell ref="A117:C117"/>
    <mergeCell ref="A118:C118"/>
    <mergeCell ref="H119:J119"/>
    <mergeCell ref="H115:J115"/>
    <mergeCell ref="H116:J116"/>
    <mergeCell ref="H118:J118"/>
    <mergeCell ref="H117:J117"/>
  </mergeCells>
  <phoneticPr fontId="24" type="noConversion"/>
  <conditionalFormatting sqref="D123:D129 C130:D131">
    <cfRule type="cellIs" dxfId="4" priority="5" stopIfTrue="1" operator="equal">
      <formula>0</formula>
    </cfRule>
  </conditionalFormatting>
  <conditionalFormatting sqref="E2:E30 K2:K31 Q2:Q31 Z2:Z31 AF2:AF31 B2:B32 H2:H32 N2:N32 T2:T32 W2:W32 AC2:AC32 AI2:AI32">
    <cfRule type="expression" dxfId="3" priority="2" stopIfTrue="1">
      <formula>LEN(B2)&gt;2</formula>
    </cfRule>
  </conditionalFormatting>
  <conditionalFormatting sqref="F2:F29 L2:L31 R2:R31 AA2:AA31 AG2:AG31 C2:C32 I2:I32 O2:O32 U2:U32 X2:X32 AD2:AD32 AJ2:AJ32">
    <cfRule type="expression" dxfId="2" priority="3" stopIfTrue="1">
      <formula>C2&lt;TIME(8,24,0)</formula>
    </cfRule>
  </conditionalFormatting>
  <conditionalFormatting sqref="F30">
    <cfRule type="cellIs" dxfId="1" priority="4" stopIfTrue="1" operator="equal">
      <formula>0</formula>
    </cfRule>
  </conditionalFormatting>
  <conditionalFormatting sqref="F31:F32">
    <cfRule type="expression" dxfId="0" priority="1" stopIfTrue="1">
      <formula>#REF!&lt;TIME(8,24,0)</formula>
    </cfRule>
  </conditionalFormatting>
  <printOptions horizontalCentered="1" verticalCentered="1" gridLines="1"/>
  <pageMargins left="0" right="0" top="0.59055118110236227" bottom="0" header="0.31496062992125984" footer="0.31496062992125984"/>
  <pageSetup paperSize="9" orientation="landscape" horizontalDpi="4294967292" verticalDpi="300"/>
  <headerFooter>
    <oddHeader>&amp;L&amp;"Arial,Standard"FD / PA / LAD / aa&amp;C&amp;"Arial,Fett"JAHRESKALENDER 2007_x000D_&amp;R&amp;"Arial,Standard"&amp;D</oddHeader>
  </headerFooter>
  <colBreaks count="1" manualBreakCount="1">
    <brk id="18" max="1048575" man="1"/>
  </colBreaks>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6">
    <pageSetUpPr autoPageBreaks="0" fitToPage="1"/>
  </sheetPr>
  <dimension ref="A1:AB100"/>
  <sheetViews>
    <sheetView workbookViewId="0">
      <selection activeCell="B20" sqref="B20"/>
    </sheetView>
  </sheetViews>
  <sheetFormatPr baseColWidth="10" defaultColWidth="11.42578125" defaultRowHeight="12.75" outlineLevelRow="1" x14ac:dyDescent="0.2"/>
  <cols>
    <col min="1" max="1" width="15.7109375" customWidth="1"/>
    <col min="2" max="20" width="8" customWidth="1"/>
    <col min="21" max="21" width="9" customWidth="1"/>
    <col min="22" max="23" width="8" customWidth="1"/>
    <col min="24" max="24" width="7.42578125" customWidth="1"/>
    <col min="25" max="25" width="8" customWidth="1"/>
  </cols>
  <sheetData>
    <row r="1" spans="1:28" s="508" customFormat="1" ht="25.5" customHeight="1" outlineLevel="1" thickBot="1" x14ac:dyDescent="0.25">
      <c r="A1" s="498" t="s">
        <v>475</v>
      </c>
      <c r="B1" s="499" t="str">
        <f>Eingabeblatt!B5</f>
        <v>Musterstelle</v>
      </c>
      <c r="C1" s="500"/>
      <c r="D1" s="501"/>
      <c r="E1" s="501"/>
      <c r="F1" s="501"/>
      <c r="G1" s="501"/>
      <c r="H1" s="501"/>
      <c r="I1" s="501"/>
      <c r="J1" s="501"/>
      <c r="K1" s="502"/>
      <c r="L1" s="503"/>
      <c r="M1" s="504" t="s">
        <v>476</v>
      </c>
      <c r="N1" s="505" t="str">
        <f>Eingabeblatt!B6</f>
        <v>Muster</v>
      </c>
      <c r="O1" s="501"/>
      <c r="P1" s="501"/>
      <c r="Q1" s="501"/>
      <c r="R1" s="501"/>
      <c r="S1" s="501"/>
      <c r="T1" s="501"/>
      <c r="U1" s="503"/>
      <c r="V1" s="506"/>
      <c r="W1" s="506"/>
      <c r="X1" s="506"/>
      <c r="Y1" s="506"/>
      <c r="Z1" s="507" t="s">
        <v>406</v>
      </c>
      <c r="AA1"/>
    </row>
    <row r="2" spans="1:28" s="506" customFormat="1" ht="27.6" customHeight="1" outlineLevel="1" thickBot="1" x14ac:dyDescent="0.25">
      <c r="A2" s="509" t="s">
        <v>477</v>
      </c>
      <c r="B2" s="510">
        <f>Eingabeblatt!B1</f>
        <v>2008</v>
      </c>
      <c r="C2" s="961"/>
      <c r="D2" s="511"/>
      <c r="E2" s="512" t="s">
        <v>478</v>
      </c>
      <c r="F2" s="513" t="str">
        <f>Eingabeblatt!B3</f>
        <v>Musterstelle</v>
      </c>
      <c r="G2" s="962"/>
      <c r="H2" s="514"/>
      <c r="I2" s="514"/>
      <c r="J2" s="514"/>
      <c r="K2" s="514"/>
      <c r="L2" s="515"/>
      <c r="M2" s="514"/>
      <c r="N2" s="514"/>
      <c r="O2" s="514"/>
      <c r="P2" s="514"/>
      <c r="Q2" s="514"/>
      <c r="R2" s="512" t="s">
        <v>479</v>
      </c>
      <c r="S2" s="516" t="e">
        <f>VLOOKUP(DATE(B2,12,31),Ferienanspruch,7,TRUE)</f>
        <v>#N/A</v>
      </c>
      <c r="T2" s="517" t="s">
        <v>480</v>
      </c>
      <c r="U2" s="518"/>
    </row>
    <row r="3" spans="1:28" ht="13.5" outlineLevel="1" thickBot="1" x14ac:dyDescent="0.25">
      <c r="B3" s="519"/>
      <c r="C3" s="519"/>
      <c r="D3" s="519"/>
      <c r="E3" s="519"/>
      <c r="F3" s="519"/>
      <c r="G3" s="519"/>
      <c r="H3" s="519"/>
      <c r="I3" s="519"/>
      <c r="J3" s="519"/>
      <c r="K3" s="519"/>
      <c r="L3" s="519"/>
      <c r="M3" s="519"/>
      <c r="N3" s="519"/>
      <c r="O3" s="519"/>
      <c r="P3" s="519"/>
      <c r="Q3" s="519"/>
      <c r="R3" s="519"/>
      <c r="S3" s="520"/>
      <c r="T3" s="519"/>
      <c r="U3" s="519"/>
      <c r="V3" s="519"/>
      <c r="W3" s="519"/>
      <c r="X3" s="519"/>
      <c r="Y3" s="519"/>
      <c r="Z3" s="390"/>
      <c r="AA3" s="390"/>
    </row>
    <row r="4" spans="1:28" s="527" customFormat="1" ht="90.75" customHeight="1" outlineLevel="1" thickBot="1" x14ac:dyDescent="0.25">
      <c r="A4" s="521" t="str">
        <f>Eingabeblatt!B10</f>
        <v>Version 09_0821</v>
      </c>
      <c r="B4" s="522" t="str">
        <f>Januar!C22</f>
        <v>Ferienbezug</v>
      </c>
      <c r="C4" s="522" t="str">
        <f>Januar!C23</f>
        <v>Kompens. Arbeitszeit</v>
      </c>
      <c r="D4" s="522" t="str">
        <f>Januar!C24</f>
        <v>Kompens. Überzeit</v>
      </c>
      <c r="E4" s="522" t="str">
        <f>Januar!C25</f>
        <v>Krankheit</v>
      </c>
      <c r="F4" s="522" t="str">
        <f>Januar!C26</f>
        <v>Unfall</v>
      </c>
      <c r="G4" s="522" t="str">
        <f>Januar!C27</f>
        <v>Militär / Zivildienst</v>
      </c>
      <c r="H4" s="522" t="str">
        <f>Januar!C28</f>
        <v>Nichtberufsunfall</v>
      </c>
      <c r="I4" s="522" t="str">
        <f>Januar!C29</f>
        <v>Weiterbildung</v>
      </c>
      <c r="J4" s="522" t="str">
        <f>Januar!C30</f>
        <v>Unbezahlter Urlaub</v>
      </c>
      <c r="K4" s="522" t="str">
        <f>Januar!C31</f>
        <v>Bezahlter Urlaub</v>
      </c>
      <c r="L4" s="522" t="str">
        <f>Januar!C32</f>
        <v>Kaderarbeitszeit</v>
      </c>
      <c r="M4" s="522" t="str">
        <f>Januar!C33</f>
        <v>Nebenbeschäftigung</v>
      </c>
      <c r="N4" s="522" t="str">
        <f>Januar!C34</f>
        <v>D A G</v>
      </c>
      <c r="O4" s="522" t="str">
        <f>Januar!C35</f>
        <v>Diverses</v>
      </c>
      <c r="P4" s="522" t="str">
        <f>Januar!C36</f>
        <v>freie Zeile 1</v>
      </c>
      <c r="Q4" s="522" t="str">
        <f>Januar!C37</f>
        <v>freie Zeile 2</v>
      </c>
      <c r="R4" s="522" t="str">
        <f>Januar!C38</f>
        <v>freie Zeile 3</v>
      </c>
      <c r="S4" s="522" t="str">
        <f>Januar!C85</f>
        <v>Geleistete Überzeit</v>
      </c>
      <c r="T4" s="522" t="s">
        <v>481</v>
      </c>
      <c r="U4" s="523" t="str">
        <f>Januar!C19</f>
        <v>Arbeitszeit-Saldo</v>
      </c>
      <c r="V4" s="522" t="str">
        <f>Januar!C16</f>
        <v>SOLL-Arbeitszeit</v>
      </c>
      <c r="W4" s="523" t="str">
        <f>Januar!C14</f>
        <v>inkl. Basiszeit / Feiertage</v>
      </c>
      <c r="X4" s="524" t="s">
        <v>482</v>
      </c>
      <c r="Y4" s="525" t="s">
        <v>483</v>
      </c>
      <c r="Z4" s="526"/>
      <c r="AA4" s="526"/>
    </row>
    <row r="5" spans="1:28" ht="19.5" customHeight="1" outlineLevel="1" x14ac:dyDescent="0.2">
      <c r="A5" s="528" t="s">
        <v>484</v>
      </c>
      <c r="B5" s="529">
        <f>Eingabeblatt!E24</f>
        <v>8.0499999999999989</v>
      </c>
      <c r="C5" s="529">
        <f>Eingabeblatt!E29</f>
        <v>0</v>
      </c>
      <c r="D5" s="530"/>
      <c r="E5" s="530"/>
      <c r="F5" s="530"/>
      <c r="G5" s="530"/>
      <c r="H5" s="530"/>
      <c r="I5" s="530"/>
      <c r="J5" s="530"/>
      <c r="K5" s="529">
        <f>Eingabeblatt!A183</f>
        <v>0</v>
      </c>
      <c r="L5" s="529">
        <f>Eingabeblatt!A184</f>
        <v>0</v>
      </c>
      <c r="M5" s="529">
        <f>Eingabeblatt!A185</f>
        <v>0</v>
      </c>
      <c r="N5" s="529">
        <f>Eingabeblatt!A182</f>
        <v>0</v>
      </c>
      <c r="O5" s="530"/>
      <c r="P5" s="530"/>
      <c r="Q5" s="530"/>
      <c r="R5" s="530"/>
      <c r="S5" s="530"/>
      <c r="T5" s="530"/>
      <c r="U5" s="531"/>
      <c r="V5" s="529"/>
      <c r="W5" s="532"/>
      <c r="X5" s="1128"/>
      <c r="Y5" s="1093">
        <f>V19</f>
        <v>88.383333339999965</v>
      </c>
      <c r="Z5" s="390" t="s">
        <v>485</v>
      </c>
      <c r="AA5" s="533"/>
      <c r="AB5" s="403"/>
    </row>
    <row r="6" spans="1:28" ht="26.25" outlineLevel="1" thickBot="1" x14ac:dyDescent="0.25">
      <c r="A6" s="534" t="s">
        <v>486</v>
      </c>
      <c r="B6" s="535">
        <f>Eingabeblatt!A177</f>
        <v>0</v>
      </c>
      <c r="C6" s="536"/>
      <c r="D6" s="536"/>
      <c r="E6" s="536"/>
      <c r="F6" s="536"/>
      <c r="G6" s="536"/>
      <c r="H6" s="536"/>
      <c r="I6" s="536"/>
      <c r="J6" s="536"/>
      <c r="K6" s="535">
        <f>Eingabeblatt!A180</f>
        <v>0</v>
      </c>
      <c r="L6" s="535">
        <f>Eingabeblatt!A181</f>
        <v>0</v>
      </c>
      <c r="M6" s="536"/>
      <c r="N6" s="535">
        <f>Eingabeblatt!A179</f>
        <v>0</v>
      </c>
      <c r="O6" s="536"/>
      <c r="P6" s="536"/>
      <c r="Q6" s="536"/>
      <c r="R6" s="536"/>
      <c r="S6" s="536"/>
      <c r="T6" s="535">
        <f>Eingabeblatt!A176</f>
        <v>0</v>
      </c>
      <c r="U6" s="537">
        <f>Eingabeblatt!A175</f>
        <v>6.9444444444444447E-4</v>
      </c>
      <c r="V6" s="538"/>
      <c r="W6" s="539"/>
      <c r="X6" s="540"/>
      <c r="Y6" s="541"/>
      <c r="Z6" s="390" t="s">
        <v>487</v>
      </c>
      <c r="AA6" s="533"/>
      <c r="AB6" s="403"/>
    </row>
    <row r="7" spans="1:28" ht="19.5" customHeight="1" outlineLevel="1" x14ac:dyDescent="0.2">
      <c r="A7" s="542" t="s">
        <v>445</v>
      </c>
      <c r="B7" s="543">
        <f>Januar!$AJ$22</f>
        <v>0</v>
      </c>
      <c r="C7" s="543">
        <f>Januar!$AJ$23</f>
        <v>0</v>
      </c>
      <c r="D7" s="543">
        <f>Januar!$AJ$24</f>
        <v>0</v>
      </c>
      <c r="E7" s="543">
        <f>Januar!$AJ$25</f>
        <v>0</v>
      </c>
      <c r="F7" s="543">
        <f>Januar!$AJ$26</f>
        <v>0</v>
      </c>
      <c r="G7" s="543">
        <f>Januar!$AJ$27</f>
        <v>0</v>
      </c>
      <c r="H7" s="543">
        <f>Januar!$AJ$28</f>
        <v>0</v>
      </c>
      <c r="I7" s="543">
        <f>Januar!$AJ$29</f>
        <v>0</v>
      </c>
      <c r="J7" s="543">
        <f>Januar!$AJ$30</f>
        <v>0</v>
      </c>
      <c r="K7" s="543">
        <f>Januar!$AJ$31</f>
        <v>0</v>
      </c>
      <c r="L7" s="543">
        <f>Januar!$AJ$32</f>
        <v>0</v>
      </c>
      <c r="M7" s="543">
        <f>Januar!$AJ$33</f>
        <v>0</v>
      </c>
      <c r="N7" s="543">
        <f>Januar!$AJ$34</f>
        <v>0</v>
      </c>
      <c r="O7" s="543">
        <f>Januar!$AJ$35</f>
        <v>0</v>
      </c>
      <c r="P7" s="543">
        <f>Januar!$AJ$36</f>
        <v>0</v>
      </c>
      <c r="Q7" s="543">
        <f>Januar!$AJ$37</f>
        <v>0</v>
      </c>
      <c r="R7" s="543">
        <f>Januar!$AJ$38</f>
        <v>0</v>
      </c>
      <c r="S7" s="543">
        <f>Januar!$AJ$85</f>
        <v>0</v>
      </c>
      <c r="T7" s="543">
        <f t="shared" ref="T7:T18" si="0">T6+S7-D7</f>
        <v>0</v>
      </c>
      <c r="U7" s="544">
        <f ca="1">Januar!AI19</f>
        <v>0</v>
      </c>
      <c r="V7" s="545">
        <f>Januar!$AJ$16</f>
        <v>7.349999999999997</v>
      </c>
      <c r="W7" s="544">
        <f>Januar!$AJ$14</f>
        <v>0.35</v>
      </c>
      <c r="X7" s="1094">
        <f t="shared" ref="X7:X18" si="1">IF(W7=0,0,W7-V7)</f>
        <v>-6.9999999999999973</v>
      </c>
      <c r="Y7" s="1095">
        <f>IF(W7=0,0,Y5-W7)</f>
        <v>88.03333333999997</v>
      </c>
      <c r="Z7" s="533" t="s">
        <v>488</v>
      </c>
      <c r="AA7" s="533"/>
      <c r="AB7" s="403"/>
    </row>
    <row r="8" spans="1:28" ht="19.5" customHeight="1" outlineLevel="1" x14ac:dyDescent="0.2">
      <c r="A8" s="542" t="s">
        <v>446</v>
      </c>
      <c r="B8" s="543">
        <f>Februar!$AJ$22</f>
        <v>0</v>
      </c>
      <c r="C8" s="543">
        <f>Februar!$AJ$23</f>
        <v>0</v>
      </c>
      <c r="D8" s="543">
        <f>Februar!$AJ$24</f>
        <v>0</v>
      </c>
      <c r="E8" s="543">
        <f>Februar!$AJ$25</f>
        <v>0</v>
      </c>
      <c r="F8" s="543">
        <f>Februar!$AJ$26</f>
        <v>0</v>
      </c>
      <c r="G8" s="543">
        <f>Februar!$AJ$27</f>
        <v>0</v>
      </c>
      <c r="H8" s="543">
        <f>Februar!$AJ$28</f>
        <v>0</v>
      </c>
      <c r="I8" s="543">
        <f>Februar!$AJ$29</f>
        <v>0</v>
      </c>
      <c r="J8" s="543">
        <f>Februar!$AJ$30</f>
        <v>0</v>
      </c>
      <c r="K8" s="543">
        <f>Februar!$AJ$31</f>
        <v>0</v>
      </c>
      <c r="L8" s="543">
        <f>Februar!$AJ$32</f>
        <v>0</v>
      </c>
      <c r="M8" s="543">
        <f>Februar!$AJ$33</f>
        <v>0</v>
      </c>
      <c r="N8" s="543">
        <f>Februar!$AJ$34</f>
        <v>0</v>
      </c>
      <c r="O8" s="543">
        <f>Februar!$AJ$35</f>
        <v>0</v>
      </c>
      <c r="P8" s="543">
        <f>Februar!$AJ$36</f>
        <v>0</v>
      </c>
      <c r="Q8" s="543">
        <f>Februar!$AJ$37</f>
        <v>0</v>
      </c>
      <c r="R8" s="543">
        <f>Februar!$AJ$38</f>
        <v>0</v>
      </c>
      <c r="S8" s="543">
        <f>Februar!$AJ$85</f>
        <v>0</v>
      </c>
      <c r="T8" s="543">
        <f t="shared" si="0"/>
        <v>0</v>
      </c>
      <c r="U8" s="544">
        <f ca="1">Februar!AI19</f>
        <v>0</v>
      </c>
      <c r="V8" s="545">
        <f>Februar!$AJ$16</f>
        <v>6.9999999999999973</v>
      </c>
      <c r="W8" s="544">
        <f>Februar!$AJ$14</f>
        <v>0</v>
      </c>
      <c r="X8" s="546">
        <f t="shared" si="1"/>
        <v>0</v>
      </c>
      <c r="Y8" s="547">
        <f t="shared" ref="Y8:Y18" si="2">IF(W8=0,0,Y7-W8)</f>
        <v>0</v>
      </c>
      <c r="Z8" s="390" t="s">
        <v>487</v>
      </c>
      <c r="AA8" s="533"/>
      <c r="AB8" s="403"/>
    </row>
    <row r="9" spans="1:28" ht="19.5" customHeight="1" outlineLevel="1" x14ac:dyDescent="0.2">
      <c r="A9" s="542" t="s">
        <v>447</v>
      </c>
      <c r="B9" s="543">
        <f>Maerz!$AJ$22</f>
        <v>0</v>
      </c>
      <c r="C9" s="543">
        <f>Maerz!$AJ$23</f>
        <v>0</v>
      </c>
      <c r="D9" s="543">
        <f>Maerz!$AJ$24</f>
        <v>0</v>
      </c>
      <c r="E9" s="543">
        <f>Maerz!$AJ$25</f>
        <v>0</v>
      </c>
      <c r="F9" s="543">
        <f>Maerz!$AJ$26</f>
        <v>0</v>
      </c>
      <c r="G9" s="543">
        <f>Maerz!$AJ$27</f>
        <v>0</v>
      </c>
      <c r="H9" s="543">
        <f>Maerz!$AJ$28</f>
        <v>0</v>
      </c>
      <c r="I9" s="543">
        <f>Maerz!$AJ$29</f>
        <v>0</v>
      </c>
      <c r="J9" s="543">
        <f>Maerz!$AJ$30</f>
        <v>0</v>
      </c>
      <c r="K9" s="543">
        <f>Maerz!$AJ$31</f>
        <v>0</v>
      </c>
      <c r="L9" s="543">
        <f>Maerz!$AJ$32</f>
        <v>0</v>
      </c>
      <c r="M9" s="543">
        <f>Maerz!$AJ$33</f>
        <v>0</v>
      </c>
      <c r="N9" s="543">
        <f>Maerz!$AJ$34</f>
        <v>0</v>
      </c>
      <c r="O9" s="543">
        <f>Maerz!$AJ$35</f>
        <v>0</v>
      </c>
      <c r="P9" s="543">
        <f>Maerz!$AJ$36</f>
        <v>0</v>
      </c>
      <c r="Q9" s="543">
        <f>Maerz!$AJ$37</f>
        <v>0</v>
      </c>
      <c r="R9" s="543">
        <f>Maerz!$AJ$38</f>
        <v>0</v>
      </c>
      <c r="S9" s="543">
        <f>Maerz!$AJ$85</f>
        <v>0</v>
      </c>
      <c r="T9" s="543">
        <f t="shared" si="0"/>
        <v>0</v>
      </c>
      <c r="U9" s="544">
        <f ca="1">Maerz!AI19</f>
        <v>0</v>
      </c>
      <c r="V9" s="545">
        <f>Maerz!$AJ$16</f>
        <v>7.6999999999999966</v>
      </c>
      <c r="W9" s="544">
        <f>Maerz!$AJ$14</f>
        <v>0</v>
      </c>
      <c r="X9" s="546">
        <f t="shared" si="1"/>
        <v>0</v>
      </c>
      <c r="Y9" s="547">
        <f t="shared" si="2"/>
        <v>0</v>
      </c>
      <c r="Z9" s="390"/>
      <c r="AA9" s="533"/>
      <c r="AB9" s="403"/>
    </row>
    <row r="10" spans="1:28" ht="19.5" customHeight="1" outlineLevel="1" x14ac:dyDescent="0.2">
      <c r="A10" s="542" t="s">
        <v>448</v>
      </c>
      <c r="B10" s="543">
        <f>April!$AJ$22</f>
        <v>0</v>
      </c>
      <c r="C10" s="543">
        <f>April!$AJ$23</f>
        <v>0</v>
      </c>
      <c r="D10" s="543">
        <f>April!$AJ$24</f>
        <v>0</v>
      </c>
      <c r="E10" s="543">
        <f>April!$AJ$25</f>
        <v>0</v>
      </c>
      <c r="F10" s="543">
        <f>April!$AJ$26</f>
        <v>0</v>
      </c>
      <c r="G10" s="543">
        <f>April!$AJ$27</f>
        <v>0</v>
      </c>
      <c r="H10" s="543">
        <f>April!$AJ$28</f>
        <v>0</v>
      </c>
      <c r="I10" s="543">
        <f>April!$AJ$29</f>
        <v>0</v>
      </c>
      <c r="J10" s="543">
        <f>April!$AJ$30</f>
        <v>0</v>
      </c>
      <c r="K10" s="543">
        <f>April!$AJ$31</f>
        <v>0</v>
      </c>
      <c r="L10" s="543">
        <f>April!$AJ$32</f>
        <v>0</v>
      </c>
      <c r="M10" s="543">
        <f>April!$AJ$33</f>
        <v>0</v>
      </c>
      <c r="N10" s="543">
        <f>April!$AJ$34</f>
        <v>0</v>
      </c>
      <c r="O10" s="543">
        <f>April!$AJ$35</f>
        <v>0</v>
      </c>
      <c r="P10" s="543">
        <f>April!$AJ$36</f>
        <v>0</v>
      </c>
      <c r="Q10" s="543">
        <f>April!$AJ$37</f>
        <v>0</v>
      </c>
      <c r="R10" s="543">
        <f>April!$AJ$38</f>
        <v>0</v>
      </c>
      <c r="S10" s="543">
        <f>April!$AJ$85</f>
        <v>0</v>
      </c>
      <c r="T10" s="543">
        <f t="shared" si="0"/>
        <v>0</v>
      </c>
      <c r="U10" s="544">
        <f ca="1">April!AI19</f>
        <v>0</v>
      </c>
      <c r="V10" s="545">
        <f>April!$AJ$16</f>
        <v>6.9166666699999979</v>
      </c>
      <c r="W10" s="544">
        <f>April!$AJ$14</f>
        <v>0.78333332999999994</v>
      </c>
      <c r="X10" s="546">
        <f t="shared" si="1"/>
        <v>-6.1333333399999983</v>
      </c>
      <c r="Y10" s="547">
        <f t="shared" si="2"/>
        <v>-0.78333332999999994</v>
      </c>
      <c r="Z10" s="390"/>
      <c r="AA10" s="533"/>
      <c r="AB10" s="403"/>
    </row>
    <row r="11" spans="1:28" ht="19.5" customHeight="1" outlineLevel="1" x14ac:dyDescent="0.2">
      <c r="A11" s="542" t="s">
        <v>378</v>
      </c>
      <c r="B11" s="543">
        <f>Mai!$AJ$22</f>
        <v>0</v>
      </c>
      <c r="C11" s="543">
        <f>Mai!$AJ$23</f>
        <v>0</v>
      </c>
      <c r="D11" s="543">
        <f>Mai!$AJ$24</f>
        <v>0</v>
      </c>
      <c r="E11" s="543">
        <f>Mai!$AJ$25</f>
        <v>0</v>
      </c>
      <c r="F11" s="543">
        <f>Mai!$AJ$26</f>
        <v>0</v>
      </c>
      <c r="G11" s="543">
        <f>Mai!$AJ$27</f>
        <v>0</v>
      </c>
      <c r="H11" s="543">
        <f>Mai!$AJ$28</f>
        <v>0</v>
      </c>
      <c r="I11" s="543">
        <f>Mai!$AJ$29</f>
        <v>0</v>
      </c>
      <c r="J11" s="543">
        <f>Mai!$AJ$30</f>
        <v>0</v>
      </c>
      <c r="K11" s="543">
        <f>Mai!$AJ$31</f>
        <v>0</v>
      </c>
      <c r="L11" s="543">
        <f>Mai!$AJ$32</f>
        <v>0</v>
      </c>
      <c r="M11" s="543">
        <f>Mai!$AJ$33</f>
        <v>0</v>
      </c>
      <c r="N11" s="543">
        <f>Mai!$AJ$34</f>
        <v>0</v>
      </c>
      <c r="O11" s="543">
        <f>Mai!$AJ$35</f>
        <v>0</v>
      </c>
      <c r="P11" s="543">
        <f>Mai!$AJ$36</f>
        <v>0</v>
      </c>
      <c r="Q11" s="543">
        <f>Mai!$AJ$37</f>
        <v>0</v>
      </c>
      <c r="R11" s="543">
        <f>Mai!$AJ$38</f>
        <v>0</v>
      </c>
      <c r="S11" s="543">
        <f>Mai!$AJ$85</f>
        <v>0</v>
      </c>
      <c r="T11" s="543">
        <f t="shared" si="0"/>
        <v>0</v>
      </c>
      <c r="U11" s="544">
        <f ca="1">Mai!AI19</f>
        <v>0</v>
      </c>
      <c r="V11" s="545">
        <f>Mai!$AJ$16</f>
        <v>6.2166666699999986</v>
      </c>
      <c r="W11" s="544">
        <f>Mai!$AJ$14</f>
        <v>1.1333333299999999</v>
      </c>
      <c r="X11" s="546">
        <f t="shared" si="1"/>
        <v>-5.0833333399999985</v>
      </c>
      <c r="Y11" s="547">
        <f t="shared" si="2"/>
        <v>-1.9166666599999997</v>
      </c>
      <c r="Z11" s="390"/>
      <c r="AA11" s="533"/>
      <c r="AB11" s="403"/>
    </row>
    <row r="12" spans="1:28" ht="19.5" customHeight="1" outlineLevel="1" x14ac:dyDescent="0.2">
      <c r="A12" s="542" t="s">
        <v>449</v>
      </c>
      <c r="B12" s="543">
        <f>Juni!$AJ$22</f>
        <v>0</v>
      </c>
      <c r="C12" s="543">
        <f>Juni!$AJ$23</f>
        <v>0</v>
      </c>
      <c r="D12" s="543">
        <f>Juni!$AJ$24</f>
        <v>0</v>
      </c>
      <c r="E12" s="543">
        <f>Juni!$AJ$25</f>
        <v>0</v>
      </c>
      <c r="F12" s="543">
        <f>Juni!$AJ$26</f>
        <v>0</v>
      </c>
      <c r="G12" s="543">
        <f>Juni!$AJ$27</f>
        <v>0</v>
      </c>
      <c r="H12" s="543">
        <f>Juni!$AJ$28</f>
        <v>0</v>
      </c>
      <c r="I12" s="543">
        <f>Juni!$AJ$29</f>
        <v>0</v>
      </c>
      <c r="J12" s="543">
        <f>Juni!$AJ$30</f>
        <v>0</v>
      </c>
      <c r="K12" s="543">
        <f>Juni!$AJ$31</f>
        <v>0</v>
      </c>
      <c r="L12" s="543">
        <f>Juni!$AJ$32</f>
        <v>0</v>
      </c>
      <c r="M12" s="543">
        <f>Juni!$AJ$33</f>
        <v>0</v>
      </c>
      <c r="N12" s="543">
        <f>Juni!$AJ$34</f>
        <v>0</v>
      </c>
      <c r="O12" s="543">
        <f>Juni!$AJ$35</f>
        <v>0</v>
      </c>
      <c r="P12" s="543">
        <f>Juni!$AJ$36</f>
        <v>0</v>
      </c>
      <c r="Q12" s="543">
        <f>Juni!$AJ$37</f>
        <v>0</v>
      </c>
      <c r="R12" s="543">
        <f>Juni!$AJ$38</f>
        <v>0</v>
      </c>
      <c r="S12" s="543">
        <f>Juni!$AJ$85</f>
        <v>0</v>
      </c>
      <c r="T12" s="543">
        <f t="shared" si="0"/>
        <v>0</v>
      </c>
      <c r="U12" s="544">
        <f ca="1">Juni!AI19</f>
        <v>0</v>
      </c>
      <c r="V12" s="545">
        <f>Juni!$AJ$16</f>
        <v>7.6999999999999966</v>
      </c>
      <c r="W12" s="544">
        <f>Juni!$AJ$14</f>
        <v>0</v>
      </c>
      <c r="X12" s="546">
        <f t="shared" si="1"/>
        <v>0</v>
      </c>
      <c r="Y12" s="547">
        <f t="shared" si="2"/>
        <v>0</v>
      </c>
      <c r="Z12" s="390"/>
      <c r="AA12" s="533"/>
      <c r="AB12" s="403"/>
    </row>
    <row r="13" spans="1:28" ht="19.5" customHeight="1" outlineLevel="1" x14ac:dyDescent="0.2">
      <c r="A13" s="542" t="s">
        <v>450</v>
      </c>
      <c r="B13" s="543">
        <f>Juli!$AJ$22</f>
        <v>0</v>
      </c>
      <c r="C13" s="543">
        <f>Juli!$AJ$23</f>
        <v>0</v>
      </c>
      <c r="D13" s="543">
        <f>Juli!$AJ$24</f>
        <v>0</v>
      </c>
      <c r="E13" s="543">
        <f>Juli!$AJ$25</f>
        <v>0</v>
      </c>
      <c r="F13" s="543">
        <f>Juli!$AJ$26</f>
        <v>0</v>
      </c>
      <c r="G13" s="543">
        <f>Juli!$AJ$27</f>
        <v>0</v>
      </c>
      <c r="H13" s="543">
        <f>Juli!$AJ$28</f>
        <v>0</v>
      </c>
      <c r="I13" s="543">
        <f>Juli!$AJ$29</f>
        <v>0</v>
      </c>
      <c r="J13" s="543">
        <f>Juli!$AJ$30</f>
        <v>0</v>
      </c>
      <c r="K13" s="543">
        <f>Juli!$AJ$31</f>
        <v>0</v>
      </c>
      <c r="L13" s="543">
        <f>Juli!$AJ$32</f>
        <v>0</v>
      </c>
      <c r="M13" s="543">
        <f>Juli!$AJ$33</f>
        <v>0</v>
      </c>
      <c r="N13" s="543">
        <f>Juli!$AJ$34</f>
        <v>0</v>
      </c>
      <c r="O13" s="543">
        <f>Juli!$AJ$35</f>
        <v>0</v>
      </c>
      <c r="P13" s="543">
        <f>Juli!$AJ$36</f>
        <v>0</v>
      </c>
      <c r="Q13" s="543">
        <f>Juli!$AJ$37</f>
        <v>0</v>
      </c>
      <c r="R13" s="543">
        <f>Juli!$AJ$38</f>
        <v>0</v>
      </c>
      <c r="S13" s="543">
        <f>Juli!$AJ$85</f>
        <v>0</v>
      </c>
      <c r="T13" s="543">
        <f t="shared" si="0"/>
        <v>0</v>
      </c>
      <c r="U13" s="544">
        <f ca="1">Juli!AI19</f>
        <v>0</v>
      </c>
      <c r="V13" s="545">
        <f>Juli!$AJ$16</f>
        <v>8.0499999999999972</v>
      </c>
      <c r="W13" s="544">
        <f>Juli!$AJ$14</f>
        <v>0</v>
      </c>
      <c r="X13" s="546">
        <f t="shared" si="1"/>
        <v>0</v>
      </c>
      <c r="Y13" s="547">
        <f t="shared" si="2"/>
        <v>0</v>
      </c>
      <c r="Z13" s="390"/>
      <c r="AA13" s="533"/>
      <c r="AB13" s="403"/>
    </row>
    <row r="14" spans="1:28" ht="19.5" customHeight="1" outlineLevel="1" x14ac:dyDescent="0.2">
      <c r="A14" s="542" t="s">
        <v>451</v>
      </c>
      <c r="B14" s="543">
        <f>August!$AJ$22</f>
        <v>0</v>
      </c>
      <c r="C14" s="543">
        <f>August!$AJ$23</f>
        <v>0</v>
      </c>
      <c r="D14" s="543">
        <f>August!$AJ$24</f>
        <v>0</v>
      </c>
      <c r="E14" s="543">
        <f>August!$AJ$25</f>
        <v>0</v>
      </c>
      <c r="F14" s="543">
        <f>August!$AJ$26</f>
        <v>0</v>
      </c>
      <c r="G14" s="543">
        <f>August!$AJ$27</f>
        <v>0</v>
      </c>
      <c r="H14" s="543">
        <f>August!$AJ$28</f>
        <v>0</v>
      </c>
      <c r="I14" s="543">
        <f>August!$AJ$29</f>
        <v>0</v>
      </c>
      <c r="J14" s="543">
        <f>August!$AJ$30</f>
        <v>0</v>
      </c>
      <c r="K14" s="543">
        <f>August!$AJ$31</f>
        <v>0</v>
      </c>
      <c r="L14" s="543">
        <f>August!$AJ$32</f>
        <v>0</v>
      </c>
      <c r="M14" s="543">
        <f>August!$AJ$33</f>
        <v>0</v>
      </c>
      <c r="N14" s="543">
        <f>August!$AJ$34</f>
        <v>0</v>
      </c>
      <c r="O14" s="543">
        <f>August!$AJ$35</f>
        <v>0</v>
      </c>
      <c r="P14" s="543">
        <f>August!$AJ$36</f>
        <v>0</v>
      </c>
      <c r="Q14" s="543">
        <f>August!$AJ$37</f>
        <v>0</v>
      </c>
      <c r="R14" s="543">
        <f>August!$AJ$38</f>
        <v>0</v>
      </c>
      <c r="S14" s="543">
        <f>August!$AJ$85</f>
        <v>0</v>
      </c>
      <c r="T14" s="543">
        <f t="shared" si="0"/>
        <v>0</v>
      </c>
      <c r="U14" s="544">
        <f ca="1">August!AI19</f>
        <v>0</v>
      </c>
      <c r="V14" s="545">
        <f>August!$AJ$16</f>
        <v>7.349999999999997</v>
      </c>
      <c r="W14" s="544">
        <f>August!$AJ$14</f>
        <v>0</v>
      </c>
      <c r="X14" s="546">
        <f t="shared" si="1"/>
        <v>0</v>
      </c>
      <c r="Y14" s="547">
        <f t="shared" si="2"/>
        <v>0</v>
      </c>
      <c r="Z14" s="390"/>
      <c r="AA14" s="533"/>
      <c r="AB14" s="403"/>
    </row>
    <row r="15" spans="1:28" ht="19.5" customHeight="1" outlineLevel="1" x14ac:dyDescent="0.2">
      <c r="A15" s="542" t="s">
        <v>452</v>
      </c>
      <c r="B15" s="543">
        <f>September!$AJ$22</f>
        <v>0</v>
      </c>
      <c r="C15" s="543">
        <f>September!$AJ$23</f>
        <v>0</v>
      </c>
      <c r="D15" s="543">
        <f>September!$AJ$24</f>
        <v>0</v>
      </c>
      <c r="E15" s="543">
        <f>September!$AJ$25</f>
        <v>0</v>
      </c>
      <c r="F15" s="543">
        <f>September!$AJ$26</f>
        <v>0</v>
      </c>
      <c r="G15" s="543">
        <f>September!$AJ$27</f>
        <v>0</v>
      </c>
      <c r="H15" s="543">
        <f>September!$AJ$28</f>
        <v>0</v>
      </c>
      <c r="I15" s="543">
        <f>September!$AJ$29</f>
        <v>0</v>
      </c>
      <c r="J15" s="543">
        <f>September!$AJ$30</f>
        <v>0</v>
      </c>
      <c r="K15" s="543">
        <f>September!$AJ$31</f>
        <v>0</v>
      </c>
      <c r="L15" s="543">
        <f>September!$AJ$32</f>
        <v>0</v>
      </c>
      <c r="M15" s="543">
        <f>September!$AJ$33</f>
        <v>0</v>
      </c>
      <c r="N15" s="543">
        <f>September!$AJ$34</f>
        <v>0</v>
      </c>
      <c r="O15" s="543">
        <f>September!$AJ$35</f>
        <v>0</v>
      </c>
      <c r="P15" s="543">
        <f>September!$AJ$36</f>
        <v>0</v>
      </c>
      <c r="Q15" s="543">
        <f>September!$AJ$37</f>
        <v>0</v>
      </c>
      <c r="R15" s="543">
        <f>September!$AJ$38</f>
        <v>0</v>
      </c>
      <c r="S15" s="543">
        <f>September!$AJ$85</f>
        <v>0</v>
      </c>
      <c r="T15" s="543">
        <f t="shared" si="0"/>
        <v>0</v>
      </c>
      <c r="U15" s="544">
        <f ca="1">September!AI19</f>
        <v>0</v>
      </c>
      <c r="V15" s="545">
        <f>September!$AJ$16</f>
        <v>7.6999999999999966</v>
      </c>
      <c r="W15" s="544">
        <f>September!$AJ$14</f>
        <v>0</v>
      </c>
      <c r="X15" s="546">
        <f t="shared" si="1"/>
        <v>0</v>
      </c>
      <c r="Y15" s="547">
        <f t="shared" si="2"/>
        <v>0</v>
      </c>
      <c r="Z15" s="390"/>
      <c r="AA15" s="533"/>
      <c r="AB15" s="403"/>
    </row>
    <row r="16" spans="1:28" ht="19.5" customHeight="1" outlineLevel="1" x14ac:dyDescent="0.2">
      <c r="A16" s="542" t="s">
        <v>453</v>
      </c>
      <c r="B16" s="543">
        <f>Oktober!$AJ$22</f>
        <v>0</v>
      </c>
      <c r="C16" s="543">
        <f>Oktober!$AJ$23</f>
        <v>0</v>
      </c>
      <c r="D16" s="543">
        <f>Oktober!$AJ$24</f>
        <v>0</v>
      </c>
      <c r="E16" s="543">
        <f>Oktober!$AJ$25</f>
        <v>0</v>
      </c>
      <c r="F16" s="543">
        <f>Oktober!$AJ$26</f>
        <v>0</v>
      </c>
      <c r="G16" s="543">
        <f>Oktober!$AJ$27</f>
        <v>0</v>
      </c>
      <c r="H16" s="543">
        <f>Oktober!$AJ$28</f>
        <v>0</v>
      </c>
      <c r="I16" s="543">
        <f>Oktober!$AJ$29</f>
        <v>0</v>
      </c>
      <c r="J16" s="543">
        <f>Oktober!$AJ$30</f>
        <v>0</v>
      </c>
      <c r="K16" s="543">
        <f>Oktober!$AJ$31</f>
        <v>0</v>
      </c>
      <c r="L16" s="543">
        <f>Oktober!$AJ$32</f>
        <v>0</v>
      </c>
      <c r="M16" s="543">
        <f>Oktober!$AJ$33</f>
        <v>0</v>
      </c>
      <c r="N16" s="543">
        <f>Oktober!$AJ$34</f>
        <v>0</v>
      </c>
      <c r="O16" s="543">
        <f>Oktober!$AJ$35</f>
        <v>0</v>
      </c>
      <c r="P16" s="543">
        <f>Oktober!$AJ$36</f>
        <v>0</v>
      </c>
      <c r="Q16" s="543">
        <f>Oktober!$AJ$37</f>
        <v>0</v>
      </c>
      <c r="R16" s="543">
        <f>Oktober!$AJ$38</f>
        <v>0</v>
      </c>
      <c r="S16" s="543">
        <f>Oktober!$AJ$85</f>
        <v>0</v>
      </c>
      <c r="T16" s="543">
        <f t="shared" si="0"/>
        <v>0</v>
      </c>
      <c r="U16" s="544">
        <f ca="1">Oktober!AI19</f>
        <v>0</v>
      </c>
      <c r="V16" s="545">
        <f>Oktober!$AJ$16</f>
        <v>7.6999999999999966</v>
      </c>
      <c r="W16" s="544">
        <f>Oktober!$AJ$14</f>
        <v>0</v>
      </c>
      <c r="X16" s="546">
        <f t="shared" si="1"/>
        <v>0</v>
      </c>
      <c r="Y16" s="547">
        <f t="shared" si="2"/>
        <v>0</v>
      </c>
      <c r="Z16" s="390"/>
      <c r="AA16" s="533"/>
      <c r="AB16" s="403"/>
    </row>
    <row r="17" spans="1:28" ht="19.5" customHeight="1" outlineLevel="1" x14ac:dyDescent="0.2">
      <c r="A17" s="542" t="s">
        <v>454</v>
      </c>
      <c r="B17" s="543">
        <f>November!$AJ$22</f>
        <v>0</v>
      </c>
      <c r="C17" s="543">
        <f>November!$AJ$23</f>
        <v>0</v>
      </c>
      <c r="D17" s="543">
        <f>November!$AJ$24</f>
        <v>0</v>
      </c>
      <c r="E17" s="543">
        <f>November!$AJ$25</f>
        <v>0</v>
      </c>
      <c r="F17" s="543">
        <f>November!$AJ$26</f>
        <v>0</v>
      </c>
      <c r="G17" s="543">
        <f>November!$AJ$27</f>
        <v>0</v>
      </c>
      <c r="H17" s="543">
        <f>November!$AJ$28</f>
        <v>0</v>
      </c>
      <c r="I17" s="543">
        <f>November!$AJ$29</f>
        <v>0</v>
      </c>
      <c r="J17" s="543">
        <f>November!$AJ$30</f>
        <v>0</v>
      </c>
      <c r="K17" s="543">
        <f>November!$AJ$31</f>
        <v>0</v>
      </c>
      <c r="L17" s="543">
        <f>November!$AJ$32</f>
        <v>0</v>
      </c>
      <c r="M17" s="543">
        <f>November!$AJ$33</f>
        <v>0</v>
      </c>
      <c r="N17" s="543">
        <f>November!$AJ$34</f>
        <v>0</v>
      </c>
      <c r="O17" s="543">
        <f>November!$AJ$35</f>
        <v>0</v>
      </c>
      <c r="P17" s="543">
        <f>November!$AJ$36</f>
        <v>0</v>
      </c>
      <c r="Q17" s="543">
        <f>November!$AJ$37</f>
        <v>0</v>
      </c>
      <c r="R17" s="543">
        <f>November!$AJ$38</f>
        <v>0</v>
      </c>
      <c r="S17" s="543">
        <f>November!$AJ$85</f>
        <v>0</v>
      </c>
      <c r="T17" s="543">
        <f t="shared" si="0"/>
        <v>0</v>
      </c>
      <c r="U17" s="544">
        <f ca="1">November!AI19</f>
        <v>0</v>
      </c>
      <c r="V17" s="545">
        <f>November!$AJ$16</f>
        <v>7.349999999999997</v>
      </c>
      <c r="W17" s="544">
        <f>November!$AJ$14</f>
        <v>0</v>
      </c>
      <c r="X17" s="546">
        <f t="shared" si="1"/>
        <v>0</v>
      </c>
      <c r="Y17" s="547">
        <f t="shared" si="2"/>
        <v>0</v>
      </c>
      <c r="Z17" s="390"/>
      <c r="AA17" s="533"/>
      <c r="AB17" s="403"/>
    </row>
    <row r="18" spans="1:28" ht="19.5" customHeight="1" outlineLevel="1" thickBot="1" x14ac:dyDescent="0.25">
      <c r="A18" s="548" t="s">
        <v>455</v>
      </c>
      <c r="B18" s="549">
        <f>Dezember!$AJ$22</f>
        <v>0</v>
      </c>
      <c r="C18" s="549">
        <f>Dezember!$AJ$23</f>
        <v>0</v>
      </c>
      <c r="D18" s="549">
        <f>Dezember!$AJ$24</f>
        <v>0</v>
      </c>
      <c r="E18" s="549">
        <f>Dezember!$AJ$25</f>
        <v>0</v>
      </c>
      <c r="F18" s="549">
        <f>Dezember!$AJ$26</f>
        <v>0</v>
      </c>
      <c r="G18" s="549">
        <f>Dezember!$AJ$27</f>
        <v>0</v>
      </c>
      <c r="H18" s="549">
        <f>Dezember!$AJ$28</f>
        <v>0</v>
      </c>
      <c r="I18" s="549">
        <f>Dezember!$AJ$29</f>
        <v>0</v>
      </c>
      <c r="J18" s="549">
        <f>Dezember!$AJ$30</f>
        <v>0</v>
      </c>
      <c r="K18" s="549">
        <f>Dezember!$AJ$31</f>
        <v>0</v>
      </c>
      <c r="L18" s="549">
        <f>Dezember!$AJ$32</f>
        <v>0</v>
      </c>
      <c r="M18" s="549">
        <f>Dezember!$AJ$33</f>
        <v>0</v>
      </c>
      <c r="N18" s="549">
        <f>Dezember!$AJ$34</f>
        <v>0</v>
      </c>
      <c r="O18" s="549">
        <f>Dezember!$AJ$35</f>
        <v>0</v>
      </c>
      <c r="P18" s="549">
        <f>Dezember!$AJ$36</f>
        <v>0</v>
      </c>
      <c r="Q18" s="549">
        <f>Dezember!$AJ$37</f>
        <v>0</v>
      </c>
      <c r="R18" s="549">
        <f>Dezember!$AJ$38</f>
        <v>0</v>
      </c>
      <c r="S18" s="549">
        <f>Dezember!$AJ$85</f>
        <v>0</v>
      </c>
      <c r="T18" s="549">
        <f t="shared" si="0"/>
        <v>0</v>
      </c>
      <c r="U18" s="539">
        <f ca="1">Dezember!AI19</f>
        <v>0</v>
      </c>
      <c r="V18" s="538">
        <f>Dezember!$AJ$16</f>
        <v>7.349999999999997</v>
      </c>
      <c r="W18" s="539">
        <f>Dezember!$AJ$14</f>
        <v>0.7</v>
      </c>
      <c r="X18" s="550">
        <f t="shared" si="1"/>
        <v>-6.6499999999999968</v>
      </c>
      <c r="Y18" s="551">
        <f t="shared" si="2"/>
        <v>-0.7</v>
      </c>
      <c r="Z18" s="390"/>
      <c r="AA18" s="533"/>
      <c r="AB18" s="403"/>
    </row>
    <row r="19" spans="1:28" ht="26.25" outlineLevel="1" thickBot="1" x14ac:dyDescent="0.25">
      <c r="A19" s="552" t="s">
        <v>489</v>
      </c>
      <c r="B19" s="553">
        <f>IF(ISERROR(ROUND((B5+B6)-SUM(B7:B18),8)),"",ROUND((B5+B6)-SUM(B7:B18),8))</f>
        <v>8.0500000000000007</v>
      </c>
      <c r="C19" s="553">
        <f>IF(ISERROR(ROUND((C5+C6)-SUM(C7:C18),8)),"",ROUND((C5+C6)-SUM(C7:C18),8))</f>
        <v>0</v>
      </c>
      <c r="D19" s="554">
        <f t="shared" ref="D19:J19" si="3">ROUND(SUM(D7:D18),8)</f>
        <v>0</v>
      </c>
      <c r="E19" s="554">
        <f>ROUND(SUM(E7:E18),8)</f>
        <v>0</v>
      </c>
      <c r="F19" s="554">
        <f t="shared" si="3"/>
        <v>0</v>
      </c>
      <c r="G19" s="554">
        <f t="shared" si="3"/>
        <v>0</v>
      </c>
      <c r="H19" s="554">
        <f t="shared" si="3"/>
        <v>0</v>
      </c>
      <c r="I19" s="554">
        <f t="shared" si="3"/>
        <v>0</v>
      </c>
      <c r="J19" s="554">
        <f t="shared" si="3"/>
        <v>0</v>
      </c>
      <c r="K19" s="553">
        <f>ROUND((K5+K6)-SUM(K7:K18),8)</f>
        <v>0</v>
      </c>
      <c r="L19" s="553">
        <f>ROUND((L5+L6)-SUM(L7:L18),8)</f>
        <v>0</v>
      </c>
      <c r="M19" s="553">
        <f>ROUND((M5+M6)-SUM(M7:M18),8)</f>
        <v>0</v>
      </c>
      <c r="N19" s="553">
        <f>ROUND((N5+N6)-SUM(N7:N18),8)</f>
        <v>0</v>
      </c>
      <c r="O19" s="554">
        <f>ROUND(SUM(O7:O18),8)</f>
        <v>0</v>
      </c>
      <c r="P19" s="554">
        <f>ROUND(SUM(P7:P18),8)</f>
        <v>0</v>
      </c>
      <c r="Q19" s="554">
        <f>ROUND(SUM(Q7:Q18),8)</f>
        <v>0</v>
      </c>
      <c r="R19" s="554">
        <f>ROUND(SUM(R7:R18),8)</f>
        <v>0</v>
      </c>
      <c r="S19" s="554">
        <f>ROUND(SUM(S7:S18),8)</f>
        <v>0</v>
      </c>
      <c r="T19" s="553">
        <f>T18</f>
        <v>0</v>
      </c>
      <c r="U19" s="555">
        <f ca="1">U18</f>
        <v>0</v>
      </c>
      <c r="V19" s="554">
        <f>SUM(V7:V18)</f>
        <v>88.383333339999965</v>
      </c>
      <c r="W19" s="556">
        <f>SUM(W7:W18)</f>
        <v>2.9666666599999996</v>
      </c>
      <c r="X19" s="557"/>
      <c r="Z19" s="390" t="s">
        <v>490</v>
      </c>
      <c r="AA19" s="533"/>
      <c r="AB19" s="403"/>
    </row>
    <row r="20" spans="1:28" ht="19.5" customHeight="1" outlineLevel="1" x14ac:dyDescent="0.2">
      <c r="A20" s="558" t="s">
        <v>491</v>
      </c>
      <c r="B20" s="559"/>
      <c r="C20" s="560"/>
      <c r="D20" s="560"/>
      <c r="E20" s="560"/>
      <c r="F20" s="560"/>
      <c r="G20" s="560"/>
      <c r="H20" s="560"/>
      <c r="I20" s="560"/>
      <c r="J20" s="561"/>
      <c r="K20" s="562"/>
      <c r="L20" s="559"/>
      <c r="N20" s="563"/>
      <c r="O20" s="560"/>
      <c r="P20" s="560"/>
      <c r="Q20" s="560"/>
      <c r="R20" s="560"/>
      <c r="S20" s="564"/>
      <c r="T20" s="565"/>
      <c r="U20" s="559"/>
      <c r="V20" s="560"/>
      <c r="W20" s="560"/>
      <c r="X20" s="560"/>
      <c r="Y20" s="560"/>
      <c r="Z20" s="507" t="s">
        <v>492</v>
      </c>
      <c r="AA20" s="533"/>
      <c r="AB20" s="403"/>
    </row>
    <row r="21" spans="1:28" ht="19.5" customHeight="1" outlineLevel="1" x14ac:dyDescent="0.2">
      <c r="A21" s="566" t="s">
        <v>493</v>
      </c>
      <c r="B21" s="567"/>
      <c r="C21" s="410" t="s">
        <v>494</v>
      </c>
      <c r="D21" s="568"/>
      <c r="E21" s="560"/>
      <c r="F21" s="569"/>
      <c r="G21" s="569"/>
      <c r="H21" s="569"/>
      <c r="I21" s="560"/>
      <c r="K21" s="570"/>
      <c r="L21" s="567"/>
      <c r="N21" s="571"/>
      <c r="O21" s="572"/>
      <c r="P21" s="569"/>
      <c r="Q21" s="560"/>
      <c r="R21" s="560"/>
      <c r="S21" s="564"/>
      <c r="T21" s="573"/>
      <c r="U21" s="567"/>
      <c r="V21" s="560"/>
      <c r="W21" s="560"/>
      <c r="X21" s="560"/>
      <c r="Y21" s="560"/>
      <c r="Z21" s="507" t="s">
        <v>495</v>
      </c>
      <c r="AA21" s="533"/>
      <c r="AB21" s="403"/>
    </row>
    <row r="22" spans="1:28" ht="45" customHeight="1" outlineLevel="1" thickBot="1" x14ac:dyDescent="0.25">
      <c r="A22" s="574" t="s">
        <v>496</v>
      </c>
      <c r="B22" s="575">
        <f>IF(ISERROR(ROUND(B19,8)+B20-B21),"",ROUND(B19,8)+B20-B21)</f>
        <v>8.0500000000000007</v>
      </c>
      <c r="C22" s="568" t="s">
        <v>497</v>
      </c>
      <c r="D22" s="568"/>
      <c r="E22" s="576"/>
      <c r="F22" s="577"/>
      <c r="G22" s="577"/>
      <c r="H22" s="577"/>
      <c r="I22" s="576"/>
      <c r="K22" s="578">
        <f>K19+K20-K21</f>
        <v>0</v>
      </c>
      <c r="L22" s="575">
        <f>L19+L20-L21</f>
        <v>0</v>
      </c>
      <c r="N22" s="579">
        <f>N19+N20-N21</f>
        <v>0</v>
      </c>
      <c r="O22" s="580"/>
      <c r="P22" s="577"/>
      <c r="Q22" s="581"/>
      <c r="R22" s="582"/>
      <c r="S22" s="583"/>
      <c r="T22" s="584">
        <f>T19+T20-T21</f>
        <v>0</v>
      </c>
      <c r="U22" s="575">
        <f ca="1">U19+U20-U21</f>
        <v>0</v>
      </c>
      <c r="Z22" s="585" t="s">
        <v>498</v>
      </c>
      <c r="AA22" s="533"/>
      <c r="AB22" s="403"/>
    </row>
    <row r="23" spans="1:28" outlineLevel="1" x14ac:dyDescent="0.2">
      <c r="A23" s="484"/>
      <c r="R23" s="474"/>
    </row>
    <row r="24" spans="1:28" outlineLevel="1" x14ac:dyDescent="0.2">
      <c r="R24" s="474"/>
    </row>
    <row r="25" spans="1:28" outlineLevel="1" x14ac:dyDescent="0.2">
      <c r="A25" s="484"/>
    </row>
    <row r="26" spans="1:28" x14ac:dyDescent="0.2">
      <c r="A26" s="484"/>
      <c r="B26" s="586"/>
    </row>
    <row r="100" spans="1:1" x14ac:dyDescent="0.2">
      <c r="A100" t="s">
        <v>499</v>
      </c>
    </row>
  </sheetData>
  <sheetProtection algorithmName="SHA-512" hashValue="JiEzoOR4gTI/9IYhYzRS3sxhFYYlFrlko8Eyj8/Xlwz03E25kVqeIZeXJrFYQzZpGNH2BMnX1m2H1fanAk0vQA==" saltValue="wFfrDOkSxFP1SKtS1S16zQ==" spinCount="100000" sheet="1" selectLockedCells="1"/>
  <phoneticPr fontId="9" type="noConversion"/>
  <printOptions horizontalCentered="1" verticalCentered="1"/>
  <pageMargins left="0.19685039370078741" right="0.19685039370078741" top="0.59055118110236227" bottom="0.59055118110236227" header="0.39370078740157483" footer="0.39370078740157483"/>
  <pageSetup paperSize="9" scale="70" orientation="landscape" horizontalDpi="4294967292"/>
  <headerFooter>
    <oddHeader>&amp;C&amp;12&amp;A</oddHeader>
    <oddFooter>&amp;C&amp;D</oddFooter>
  </headerFooter>
  <drawing r:id="rId1"/>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7">
    <pageSetUpPr fitToPage="1"/>
  </sheetPr>
  <dimension ref="A1:T199"/>
  <sheetViews>
    <sheetView workbookViewId="0">
      <selection activeCell="B5" sqref="B5"/>
    </sheetView>
  </sheetViews>
  <sheetFormatPr baseColWidth="10" defaultColWidth="11.42578125" defaultRowHeight="12.75" outlineLevelRow="1" x14ac:dyDescent="0.2"/>
  <cols>
    <col min="1" max="2" width="10.7109375" customWidth="1"/>
    <col min="3" max="8" width="9.7109375" customWidth="1"/>
    <col min="9" max="9" width="10.7109375" customWidth="1"/>
    <col min="10" max="10" width="9.42578125" customWidth="1"/>
    <col min="11" max="11" width="11.42578125" customWidth="1"/>
    <col min="12" max="12" width="6.7109375" customWidth="1"/>
    <col min="13" max="19" width="9.7109375" customWidth="1"/>
    <col min="20" max="21" width="11.42578125" customWidth="1"/>
    <col min="22" max="22" width="13.42578125" customWidth="1"/>
    <col min="23" max="23" width="25.28515625" customWidth="1"/>
    <col min="24" max="24" width="28.28515625" customWidth="1"/>
  </cols>
  <sheetData>
    <row r="1" spans="1:10" outlineLevel="1" x14ac:dyDescent="0.2">
      <c r="A1" s="354" t="s">
        <v>500</v>
      </c>
      <c r="B1" s="355">
        <v>2008</v>
      </c>
      <c r="C1" s="356"/>
      <c r="D1" s="356"/>
      <c r="E1" s="356"/>
      <c r="F1" s="356"/>
      <c r="G1" s="356"/>
      <c r="H1" s="356"/>
      <c r="I1" s="356"/>
      <c r="J1" s="357"/>
    </row>
    <row r="2" spans="1:10" outlineLevel="1" x14ac:dyDescent="0.2">
      <c r="A2" s="358"/>
      <c r="B2" s="359"/>
      <c r="C2" s="360"/>
      <c r="D2" s="360"/>
      <c r="E2" s="361" t="s">
        <v>501</v>
      </c>
      <c r="F2" s="360"/>
      <c r="G2" s="360"/>
      <c r="H2" s="360"/>
      <c r="I2" s="360"/>
      <c r="J2" s="362"/>
    </row>
    <row r="3" spans="1:10" outlineLevel="1" x14ac:dyDescent="0.2">
      <c r="A3" s="363" t="s">
        <v>502</v>
      </c>
      <c r="B3" s="364" t="str">
        <f>ctPersonalangaben!D3</f>
        <v>Musterstelle</v>
      </c>
      <c r="C3" s="365"/>
      <c r="D3" s="366"/>
      <c r="E3" s="367" t="s">
        <v>503</v>
      </c>
      <c r="F3" s="360"/>
      <c r="G3" s="360"/>
      <c r="H3" s="360"/>
      <c r="I3" s="368">
        <f>IF(ISERROR(LOOKUP(100,ctPersonalangaben!N12:N20)),"",ROUND(LOOKUP(100,ctPersonalangaben!N12:N20),2))</f>
        <v>100</v>
      </c>
      <c r="J3" s="362"/>
    </row>
    <row r="4" spans="1:10" outlineLevel="1" x14ac:dyDescent="0.2">
      <c r="A4" s="358" t="s">
        <v>66</v>
      </c>
      <c r="B4" s="369">
        <v>1930</v>
      </c>
      <c r="C4" s="370"/>
      <c r="D4" s="371"/>
      <c r="E4" s="367" t="s">
        <v>504</v>
      </c>
      <c r="F4" s="360"/>
      <c r="G4" s="360"/>
      <c r="H4" s="360"/>
      <c r="I4" s="372" t="str">
        <f>IF(B1-B4&gt;=60,"226:48",IF(B1-B4&gt;=50,"226:48",IF(B1-B4&lt;=20,"226:48","193:12")))</f>
        <v>226:48</v>
      </c>
      <c r="J4" s="362"/>
    </row>
    <row r="5" spans="1:10" outlineLevel="1" x14ac:dyDescent="0.2">
      <c r="A5" s="358" t="s">
        <v>505</v>
      </c>
      <c r="B5" s="373" t="str">
        <f>ctPersonalangaben!D3</f>
        <v>Musterstelle</v>
      </c>
      <c r="C5" s="370"/>
      <c r="D5" s="371"/>
      <c r="E5" s="367" t="s">
        <v>506</v>
      </c>
      <c r="F5" s="360"/>
      <c r="G5" s="360"/>
      <c r="H5" s="360"/>
      <c r="I5" s="374">
        <v>0</v>
      </c>
      <c r="J5" s="362"/>
    </row>
    <row r="6" spans="1:10" outlineLevel="1" x14ac:dyDescent="0.2">
      <c r="A6" s="358" t="s">
        <v>60</v>
      </c>
      <c r="B6" s="375" t="str">
        <f>ctPersonalangaben!D5</f>
        <v>Muster</v>
      </c>
      <c r="C6" s="376"/>
      <c r="D6" s="371"/>
      <c r="E6" s="367" t="s">
        <v>69</v>
      </c>
      <c r="F6" s="367"/>
      <c r="G6" s="367"/>
      <c r="H6" s="367"/>
      <c r="I6" s="374"/>
      <c r="J6" s="362"/>
    </row>
    <row r="7" spans="1:10" outlineLevel="1" x14ac:dyDescent="0.2">
      <c r="A7" s="358" t="s">
        <v>507</v>
      </c>
      <c r="B7" s="377"/>
      <c r="C7" s="378"/>
      <c r="D7" s="379" t="s">
        <v>436</v>
      </c>
      <c r="E7" s="361" t="s">
        <v>508</v>
      </c>
      <c r="F7" s="367"/>
      <c r="G7" s="360" t="s">
        <v>509</v>
      </c>
      <c r="H7" s="367"/>
      <c r="I7" s="374"/>
      <c r="J7" s="362"/>
    </row>
    <row r="8" spans="1:10" outlineLevel="1" x14ac:dyDescent="0.2">
      <c r="A8" s="358"/>
      <c r="B8" s="360"/>
      <c r="C8" s="360"/>
      <c r="D8" s="360"/>
      <c r="E8" s="367" t="s">
        <v>510</v>
      </c>
      <c r="F8" s="360"/>
      <c r="G8" s="360"/>
      <c r="H8" s="360"/>
      <c r="I8" s="380">
        <f ca="1">TODAY()</f>
        <v>44548</v>
      </c>
      <c r="J8" s="381" t="s">
        <v>511</v>
      </c>
    </row>
    <row r="9" spans="1:10" outlineLevel="1" x14ac:dyDescent="0.2">
      <c r="A9" s="358"/>
      <c r="B9" s="360"/>
      <c r="C9" s="360"/>
      <c r="D9" s="360"/>
      <c r="E9" s="367" t="s">
        <v>512</v>
      </c>
      <c r="F9" s="360"/>
      <c r="G9" s="360"/>
      <c r="H9" s="360"/>
      <c r="I9" s="1129" t="s">
        <v>436</v>
      </c>
      <c r="J9" s="382" t="s">
        <v>513</v>
      </c>
    </row>
    <row r="10" spans="1:10" outlineLevel="1" x14ac:dyDescent="0.2">
      <c r="A10" s="358"/>
      <c r="B10" s="1096" t="s">
        <v>514</v>
      </c>
      <c r="C10" s="1097"/>
      <c r="D10" s="360"/>
      <c r="E10" s="367" t="s">
        <v>515</v>
      </c>
      <c r="F10" s="360"/>
      <c r="G10" s="360"/>
      <c r="H10" s="360"/>
      <c r="I10" s="383" t="str">
        <f>IF(I9="JA","NEIN","JA")</f>
        <v>JA</v>
      </c>
      <c r="J10" s="362"/>
    </row>
    <row r="11" spans="1:10" outlineLevel="1" x14ac:dyDescent="0.2">
      <c r="A11" s="384"/>
      <c r="B11" s="385"/>
      <c r="C11" s="385"/>
      <c r="D11" s="385"/>
      <c r="E11" s="386"/>
      <c r="F11" s="385"/>
      <c r="G11" s="385"/>
      <c r="H11" s="385"/>
      <c r="I11" s="387"/>
      <c r="J11" s="388"/>
    </row>
    <row r="12" spans="1:10" outlineLevel="1" x14ac:dyDescent="0.2"/>
    <row r="13" spans="1:10" outlineLevel="1" x14ac:dyDescent="0.2"/>
    <row r="14" spans="1:10" ht="15.75" outlineLevel="1" x14ac:dyDescent="0.2">
      <c r="A14" s="389" t="s">
        <v>516</v>
      </c>
      <c r="B14" s="390"/>
      <c r="C14" s="390"/>
      <c r="D14" s="390"/>
      <c r="E14" s="390"/>
      <c r="F14" s="390"/>
      <c r="G14" s="390"/>
    </row>
    <row r="15" spans="1:10" ht="25.5" outlineLevel="1" x14ac:dyDescent="0.25">
      <c r="A15" s="391" t="s">
        <v>517</v>
      </c>
      <c r="B15" s="392"/>
      <c r="C15" s="392"/>
      <c r="D15" s="1098" t="s">
        <v>518</v>
      </c>
      <c r="E15" s="393" t="s">
        <v>519</v>
      </c>
      <c r="G15" s="394"/>
      <c r="H15" s="395"/>
      <c r="I15" s="1099" t="s">
        <v>520</v>
      </c>
    </row>
    <row r="16" spans="1:10" ht="15.75" outlineLevel="1" x14ac:dyDescent="0.25">
      <c r="A16" s="396" t="s">
        <v>521</v>
      </c>
      <c r="B16" s="397"/>
      <c r="C16" s="397"/>
      <c r="D16" s="398">
        <v>0.35</v>
      </c>
      <c r="E16" s="393"/>
      <c r="G16" s="394"/>
      <c r="H16" s="395"/>
      <c r="I16" s="399"/>
    </row>
    <row r="17" spans="1:20" ht="15.75" outlineLevel="1" x14ac:dyDescent="0.25">
      <c r="A17" s="396" t="s">
        <v>522</v>
      </c>
      <c r="B17" s="397"/>
      <c r="C17" s="397"/>
      <c r="D17" s="398">
        <f>D15*MAX(ctPersonalangaben!N12:N21)/100</f>
        <v>91</v>
      </c>
      <c r="F17" s="400"/>
      <c r="G17" s="394"/>
      <c r="H17" s="401" t="s">
        <v>523</v>
      </c>
      <c r="I17" s="402">
        <v>0</v>
      </c>
    </row>
    <row r="18" spans="1:20" ht="15.75" outlineLevel="1" x14ac:dyDescent="0.25">
      <c r="A18" s="396" t="s">
        <v>524</v>
      </c>
      <c r="B18" s="397"/>
      <c r="C18" s="397"/>
      <c r="D18" s="398">
        <f>MAX(ctFeierFreitage!K6:K28)</f>
        <v>3.3166666666666669</v>
      </c>
      <c r="E18" s="403"/>
      <c r="F18" s="400"/>
      <c r="G18" s="394"/>
      <c r="H18" s="401"/>
      <c r="I18" s="401"/>
    </row>
    <row r="19" spans="1:20" ht="15.75" outlineLevel="1" x14ac:dyDescent="0.25">
      <c r="A19" s="404" t="s">
        <v>525</v>
      </c>
      <c r="B19" s="405"/>
      <c r="C19" s="405"/>
      <c r="D19" s="406">
        <f>D17-D18</f>
        <v>87.683333333333337</v>
      </c>
      <c r="F19" s="400"/>
      <c r="G19" s="394"/>
      <c r="H19" s="401"/>
      <c r="I19" s="401"/>
    </row>
    <row r="20" spans="1:20" ht="15.75" outlineLevel="1" x14ac:dyDescent="0.25">
      <c r="A20" s="1100" t="s">
        <v>526</v>
      </c>
      <c r="B20" s="1101"/>
      <c r="C20" s="1101"/>
      <c r="D20" s="1130">
        <f>Jahresabrechnung!Y5</f>
        <v>88.383333339999965</v>
      </c>
      <c r="E20" s="1131">
        <f>D20-D19</f>
        <v>0.70000000666662743</v>
      </c>
      <c r="F20" s="1102" t="s">
        <v>527</v>
      </c>
      <c r="G20" s="394"/>
      <c r="H20" s="401"/>
      <c r="I20" s="401"/>
    </row>
    <row r="21" spans="1:20" outlineLevel="1" x14ac:dyDescent="0.2">
      <c r="A21" s="390"/>
      <c r="B21" s="390"/>
      <c r="C21" s="407" t="s">
        <v>528</v>
      </c>
      <c r="D21" s="407"/>
      <c r="F21" s="408"/>
      <c r="G21" s="394"/>
      <c r="H21" s="401"/>
      <c r="I21" s="401"/>
    </row>
    <row r="22" spans="1:20" ht="15.75" outlineLevel="1" x14ac:dyDescent="0.25">
      <c r="A22" s="391" t="s">
        <v>529</v>
      </c>
      <c r="B22" s="392"/>
      <c r="C22" s="409"/>
      <c r="D22" s="1103"/>
      <c r="E22" t="s">
        <v>530</v>
      </c>
      <c r="F22" s="410"/>
      <c r="T22" s="411"/>
    </row>
    <row r="23" spans="1:20" ht="15.75" outlineLevel="1" x14ac:dyDescent="0.25">
      <c r="A23" s="396" t="s">
        <v>531</v>
      </c>
      <c r="B23" s="397"/>
      <c r="C23" s="412"/>
      <c r="D23" s="413" t="s">
        <v>89</v>
      </c>
      <c r="E23" s="414" t="s">
        <v>532</v>
      </c>
      <c r="T23" s="411"/>
    </row>
    <row r="24" spans="1:20" ht="15.75" outlineLevel="1" x14ac:dyDescent="0.25">
      <c r="A24" s="396" t="s">
        <v>82</v>
      </c>
      <c r="B24" s="397"/>
      <c r="C24" s="412"/>
      <c r="D24" s="1103" t="s">
        <v>533</v>
      </c>
      <c r="E24" s="1130">
        <f>IF(ISERROR(LOOKUP(1000,ctPersonalangaben!P12:'ctPersonalangaben'!P21)),"",LOOKUP(1000,ctPersonalangaben!P12:'ctPersonalangaben'!P21))</f>
        <v>8.0499999999999989</v>
      </c>
      <c r="F24" s="415"/>
      <c r="T24" s="411"/>
    </row>
    <row r="25" spans="1:20" ht="15.75" outlineLevel="1" x14ac:dyDescent="0.25">
      <c r="A25" s="396" t="s">
        <v>534</v>
      </c>
      <c r="B25" s="397"/>
      <c r="C25" s="412"/>
      <c r="D25" s="416" t="s">
        <v>89</v>
      </c>
      <c r="E25" s="415"/>
      <c r="F25" s="415"/>
      <c r="T25" s="411"/>
    </row>
    <row r="26" spans="1:20" ht="15.75" outlineLevel="1" x14ac:dyDescent="0.25">
      <c r="A26" s="396" t="s">
        <v>535</v>
      </c>
      <c r="B26" s="397"/>
      <c r="C26" s="412"/>
      <c r="D26" s="413" t="s">
        <v>89</v>
      </c>
      <c r="E26" s="1103" t="s">
        <v>89</v>
      </c>
      <c r="T26" s="411"/>
    </row>
    <row r="27" spans="1:20" ht="15.75" outlineLevel="1" x14ac:dyDescent="0.25">
      <c r="A27" s="396" t="s">
        <v>536</v>
      </c>
      <c r="B27" s="397"/>
      <c r="C27" s="412"/>
      <c r="D27" s="413" t="s">
        <v>89</v>
      </c>
      <c r="E27" s="413" t="s">
        <v>89</v>
      </c>
      <c r="T27" s="411"/>
    </row>
    <row r="28" spans="1:20" ht="15.75" outlineLevel="1" x14ac:dyDescent="0.25">
      <c r="A28" s="396" t="s">
        <v>537</v>
      </c>
      <c r="B28" s="397"/>
      <c r="C28" s="412"/>
      <c r="D28" s="417" t="s">
        <v>89</v>
      </c>
      <c r="E28" s="413" t="s">
        <v>89</v>
      </c>
      <c r="T28" s="411"/>
    </row>
    <row r="29" spans="1:20" ht="15.75" outlineLevel="1" x14ac:dyDescent="0.25">
      <c r="A29" s="396" t="s">
        <v>538</v>
      </c>
      <c r="B29" s="397"/>
      <c r="C29" s="412"/>
      <c r="D29" s="418"/>
      <c r="E29" s="398">
        <f>IF(ISERROR(LOOKUP(1000,Eingabeblatt!I73:'Eingabeblatt'!I82)),"",LOOKUP(1000,Eingabeblatt!I73:'Eingabeblatt'!I82))</f>
        <v>0</v>
      </c>
      <c r="G29" s="411"/>
      <c r="I29" s="411"/>
      <c r="T29" s="411"/>
    </row>
    <row r="30" spans="1:20" ht="15.75" outlineLevel="1" x14ac:dyDescent="0.25">
      <c r="A30" s="404" t="s">
        <v>431</v>
      </c>
      <c r="B30" s="405"/>
      <c r="C30" s="419"/>
      <c r="D30" s="420"/>
      <c r="E30" s="417" t="s">
        <v>89</v>
      </c>
    </row>
    <row r="31" spans="1:20" outlineLevel="1" x14ac:dyDescent="0.2">
      <c r="E31" s="421"/>
      <c r="G31" s="411"/>
    </row>
    <row r="32" spans="1:20" outlineLevel="1" x14ac:dyDescent="0.2">
      <c r="A32" s="422"/>
      <c r="B32" s="390"/>
      <c r="C32" s="390"/>
      <c r="D32" s="390"/>
      <c r="E32" s="390"/>
      <c r="G32" s="390"/>
      <c r="H32" s="390"/>
      <c r="I32" s="390"/>
    </row>
    <row r="33" spans="1:19" outlineLevel="1" x14ac:dyDescent="0.2">
      <c r="A33" s="422"/>
      <c r="B33" s="390"/>
      <c r="C33" s="390"/>
      <c r="D33" s="390"/>
      <c r="E33" s="390"/>
      <c r="G33" s="390"/>
      <c r="H33" s="390"/>
      <c r="I33" s="390"/>
    </row>
    <row r="34" spans="1:19" ht="15.75" outlineLevel="1" x14ac:dyDescent="0.25">
      <c r="A34" s="423" t="s">
        <v>417</v>
      </c>
      <c r="D34" s="393" t="s">
        <v>539</v>
      </c>
      <c r="K34" s="424" t="s">
        <v>540</v>
      </c>
    </row>
    <row r="35" spans="1:19" ht="12.75" customHeight="1" outlineLevel="1" x14ac:dyDescent="0.2">
      <c r="A35" t="s">
        <v>541</v>
      </c>
      <c r="D35" t="s">
        <v>542</v>
      </c>
      <c r="K35" s="424" t="s">
        <v>543</v>
      </c>
      <c r="M35" s="425"/>
      <c r="N35" s="425"/>
    </row>
    <row r="36" spans="1:19" ht="12" customHeight="1" outlineLevel="1" x14ac:dyDescent="0.2">
      <c r="A36" s="426" t="s">
        <v>544</v>
      </c>
      <c r="D36" s="393" t="s">
        <v>545</v>
      </c>
      <c r="K36" s="424"/>
    </row>
    <row r="37" spans="1:19" outlineLevel="1" x14ac:dyDescent="0.2">
      <c r="A37" s="427"/>
      <c r="D37" s="393"/>
      <c r="K37" s="1104" t="s">
        <v>111</v>
      </c>
      <c r="M37" s="1132" t="s">
        <v>112</v>
      </c>
      <c r="N37" s="1132" t="s">
        <v>113</v>
      </c>
      <c r="O37" s="1132" t="s">
        <v>114</v>
      </c>
      <c r="P37" s="1132" t="s">
        <v>115</v>
      </c>
      <c r="Q37" s="1132" t="s">
        <v>116</v>
      </c>
      <c r="R37" s="1132" t="s">
        <v>117</v>
      </c>
      <c r="S37" s="1132" t="s">
        <v>118</v>
      </c>
    </row>
    <row r="38" spans="1:19" outlineLevel="1" x14ac:dyDescent="0.2">
      <c r="A38" s="1133" t="s">
        <v>111</v>
      </c>
      <c r="B38" s="1134"/>
      <c r="C38" s="1134" t="s">
        <v>112</v>
      </c>
      <c r="D38" s="1134" t="s">
        <v>113</v>
      </c>
      <c r="E38" s="1134" t="s">
        <v>114</v>
      </c>
      <c r="F38" s="1134" t="s">
        <v>115</v>
      </c>
      <c r="G38" s="1134" t="s">
        <v>116</v>
      </c>
      <c r="H38" s="1134" t="s">
        <v>117</v>
      </c>
      <c r="I38" s="1134" t="s">
        <v>118</v>
      </c>
      <c r="K38" s="1105">
        <f>ctPersonalangaben!H12</f>
        <v>44561</v>
      </c>
      <c r="M38" s="1135">
        <v>0</v>
      </c>
      <c r="N38" s="1135">
        <v>0.17499999999999999</v>
      </c>
      <c r="O38" s="1135">
        <v>0.17499999999999999</v>
      </c>
      <c r="P38" s="1135">
        <v>0.17499999999999999</v>
      </c>
      <c r="Q38" s="1135">
        <v>0.17499999999999999</v>
      </c>
      <c r="R38" s="1135">
        <v>0.17499999999999999</v>
      </c>
      <c r="S38" s="1135">
        <v>0</v>
      </c>
    </row>
    <row r="39" spans="1:19" outlineLevel="1" x14ac:dyDescent="0.2">
      <c r="A39" s="1136">
        <v>37986</v>
      </c>
      <c r="B39" s="1137"/>
      <c r="C39" s="1138">
        <v>0</v>
      </c>
      <c r="D39" s="1138">
        <v>0.35</v>
      </c>
      <c r="E39" s="1138">
        <v>0.35</v>
      </c>
      <c r="F39" s="1138">
        <v>0.35</v>
      </c>
      <c r="G39" s="1138">
        <v>0.35</v>
      </c>
      <c r="H39" s="1138">
        <v>0.35</v>
      </c>
      <c r="I39" s="1138">
        <v>0</v>
      </c>
      <c r="K39" s="1105"/>
      <c r="M39" s="1135">
        <v>0</v>
      </c>
      <c r="N39" s="1135">
        <v>0</v>
      </c>
      <c r="O39" s="1135">
        <v>0</v>
      </c>
      <c r="P39" s="1135">
        <v>0</v>
      </c>
      <c r="Q39" s="1135">
        <v>0</v>
      </c>
      <c r="R39" s="1135">
        <v>0</v>
      </c>
      <c r="S39" s="1135">
        <v>0</v>
      </c>
    </row>
    <row r="40" spans="1:19" outlineLevel="1" x14ac:dyDescent="0.2">
      <c r="A40" s="1139"/>
      <c r="B40" s="1137"/>
      <c r="C40" s="1138"/>
      <c r="D40" s="1138"/>
      <c r="E40" s="1138"/>
      <c r="F40" s="1138"/>
      <c r="G40" s="1138"/>
      <c r="H40" s="1138"/>
      <c r="I40" s="1138"/>
      <c r="K40" s="424"/>
    </row>
    <row r="41" spans="1:19" outlineLevel="1" x14ac:dyDescent="0.2">
      <c r="A41" s="1136"/>
      <c r="B41" s="1140" t="s">
        <v>546</v>
      </c>
      <c r="C41" s="1141"/>
      <c r="D41" s="1138"/>
      <c r="E41" s="1138"/>
      <c r="F41" s="1138"/>
      <c r="G41" s="1138"/>
      <c r="H41" s="1138"/>
      <c r="I41" s="1141"/>
      <c r="K41" s="424" t="s">
        <v>540</v>
      </c>
    </row>
    <row r="42" spans="1:19" outlineLevel="1" x14ac:dyDescent="0.2">
      <c r="A42" s="1139"/>
      <c r="B42" s="1142"/>
      <c r="C42" s="1141"/>
      <c r="D42" s="1138"/>
      <c r="E42" s="1138"/>
      <c r="F42" s="1138"/>
      <c r="G42" s="1138"/>
      <c r="H42" s="1138"/>
      <c r="I42" s="1141"/>
      <c r="K42" s="424" t="s">
        <v>547</v>
      </c>
    </row>
    <row r="43" spans="1:19" outlineLevel="1" x14ac:dyDescent="0.2">
      <c r="A43" s="1139"/>
      <c r="B43" s="1142"/>
      <c r="C43" s="1141"/>
      <c r="D43" s="1141"/>
      <c r="E43" s="1141"/>
      <c r="F43" s="1141"/>
      <c r="G43" s="1141"/>
      <c r="H43" s="1141"/>
      <c r="I43" s="1141"/>
    </row>
    <row r="44" spans="1:19" outlineLevel="1" x14ac:dyDescent="0.2">
      <c r="A44" s="428"/>
      <c r="D44" s="401"/>
      <c r="K44" s="1104" t="s">
        <v>111</v>
      </c>
      <c r="M44" s="1132" t="s">
        <v>112</v>
      </c>
      <c r="N44" s="1132" t="s">
        <v>113</v>
      </c>
      <c r="O44" s="1132" t="s">
        <v>114</v>
      </c>
      <c r="P44" s="1132" t="s">
        <v>115</v>
      </c>
      <c r="Q44" s="1132" t="s">
        <v>116</v>
      </c>
      <c r="R44" s="1132" t="s">
        <v>117</v>
      </c>
      <c r="S44" s="1132" t="s">
        <v>118</v>
      </c>
    </row>
    <row r="45" spans="1:19" outlineLevel="1" x14ac:dyDescent="0.2">
      <c r="B45" s="422"/>
      <c r="C45" s="390"/>
      <c r="D45" s="390"/>
      <c r="E45" s="390"/>
      <c r="G45" s="390"/>
      <c r="H45" s="390"/>
      <c r="I45" s="390"/>
      <c r="K45" s="1105">
        <f>K38</f>
        <v>44561</v>
      </c>
      <c r="M45" s="1135">
        <v>0</v>
      </c>
      <c r="N45" s="1135">
        <v>0.35</v>
      </c>
      <c r="O45" s="1135">
        <v>0.35</v>
      </c>
      <c r="P45" s="1135">
        <v>0.35</v>
      </c>
      <c r="Q45" s="1135">
        <v>0.35</v>
      </c>
      <c r="R45" s="1135">
        <v>0</v>
      </c>
      <c r="S45" s="1135">
        <v>0</v>
      </c>
    </row>
    <row r="46" spans="1:19" ht="15.75" outlineLevel="1" x14ac:dyDescent="0.25">
      <c r="A46" s="429" t="s">
        <v>548</v>
      </c>
      <c r="K46" s="1106"/>
      <c r="M46" s="1107">
        <v>0</v>
      </c>
      <c r="N46" s="1107">
        <v>0</v>
      </c>
      <c r="O46" s="1107">
        <v>0</v>
      </c>
      <c r="P46" s="1107">
        <v>0</v>
      </c>
      <c r="Q46" s="1107">
        <v>0</v>
      </c>
      <c r="R46" s="1107">
        <v>0</v>
      </c>
      <c r="S46" s="1107">
        <v>0</v>
      </c>
    </row>
    <row r="47" spans="1:19" outlineLevel="1" x14ac:dyDescent="0.2">
      <c r="B47" s="430" t="s">
        <v>546</v>
      </c>
      <c r="C47" s="390"/>
      <c r="D47" s="390"/>
      <c r="E47" s="390"/>
      <c r="G47" s="390"/>
      <c r="H47" s="390"/>
      <c r="I47" s="390"/>
    </row>
    <row r="48" spans="1:19" ht="25.5" outlineLevel="1" x14ac:dyDescent="0.2">
      <c r="A48" s="1108" t="s">
        <v>78</v>
      </c>
      <c r="B48" s="1109" t="s">
        <v>79</v>
      </c>
      <c r="C48" s="1109" t="s">
        <v>80</v>
      </c>
      <c r="D48" s="1110" t="s">
        <v>81</v>
      </c>
      <c r="E48" s="1109" t="s">
        <v>82</v>
      </c>
      <c r="F48" s="1109" t="s">
        <v>83</v>
      </c>
      <c r="G48" s="1111" t="s">
        <v>84</v>
      </c>
      <c r="H48" s="1109"/>
      <c r="I48" s="1112" t="s">
        <v>85</v>
      </c>
      <c r="J48" s="1143" t="s">
        <v>86</v>
      </c>
    </row>
    <row r="49" spans="1:10" outlineLevel="1" x14ac:dyDescent="0.2">
      <c r="A49" s="431">
        <v>37986</v>
      </c>
      <c r="B49" s="432">
        <v>38351</v>
      </c>
      <c r="C49" s="433">
        <v>100</v>
      </c>
      <c r="D49" s="434">
        <f>IF(AND(A49&lt;&gt;"",B49&lt;&gt;""),MONTH(B49)-MONTH(A49)+1,"")</f>
        <v>12</v>
      </c>
      <c r="E49" s="435">
        <f>IF(AND(A49&lt;&gt;"",B49&lt;&gt;""),(FerienWoche*42/24)*D49/12*C49/100,"")</f>
        <v>8.0499999999999989</v>
      </c>
      <c r="F49" s="435">
        <f>IF(A49&lt;&gt;"",E49,"")</f>
        <v>8.0499999999999989</v>
      </c>
      <c r="G49" s="436">
        <f>IF(C49&lt;&gt;"",C49*D49/12,"")</f>
        <v>100</v>
      </c>
      <c r="H49" s="436" t="str">
        <f>IF(AND(A49&lt;&gt;"",B49&lt;&gt;"",OR(C49="",C49&lt;0,C49&gt;100)),"Fehler","")</f>
        <v/>
      </c>
      <c r="I49" s="437">
        <f>IF(A49&lt;&gt;"",IF(H49="",LOOKUP(F49,F49),""),"")</f>
        <v>8.0499999999999989</v>
      </c>
      <c r="J49" s="438">
        <f t="shared" ref="J49:J58" si="0">IF(A49="","",Normtagesarbeitszeit*24*C49/100/24)</f>
        <v>0.34999999999999992</v>
      </c>
    </row>
    <row r="50" spans="1:10" outlineLevel="1" x14ac:dyDescent="0.2">
      <c r="A50" s="439"/>
      <c r="B50" s="432"/>
      <c r="C50" s="433"/>
      <c r="D50" s="434" t="str">
        <f t="shared" ref="D50:D58" si="1">IF(A50&lt;&gt;"",MONTH(B50)-MONTH(A50)+1,"")</f>
        <v/>
      </c>
      <c r="E50" s="435" t="str">
        <f>IF(A50&lt;&gt;"",(FerienWoche*42/24)*D50/12*C50/100,"")</f>
        <v/>
      </c>
      <c r="F50" s="435" t="str">
        <f t="shared" ref="F50:F58" si="2">IF(A50&lt;&gt;"",F49+E50,"")</f>
        <v/>
      </c>
      <c r="G50" s="436" t="str">
        <f t="shared" ref="G50:G58" si="3">IF(C50&lt;&gt;"",C50*D50/12+G49,"")</f>
        <v/>
      </c>
      <c r="H50" s="436" t="str">
        <f t="shared" ref="H50:H58" si="4">IF(AND(A50&lt;&gt;"",OR(C50="",C50&lt;0,C50&gt;100)),"Fehler","")</f>
        <v/>
      </c>
      <c r="I50" s="437" t="str">
        <f t="shared" ref="I50:I58" si="5">IF(A50&lt;&gt;"",IF(H50="",LOOKUP(F50,F50),""),"")</f>
        <v/>
      </c>
      <c r="J50" s="438" t="str">
        <f t="shared" si="0"/>
        <v/>
      </c>
    </row>
    <row r="51" spans="1:10" outlineLevel="1" x14ac:dyDescent="0.2">
      <c r="A51" s="439"/>
      <c r="B51" s="432"/>
      <c r="C51" s="433"/>
      <c r="D51" s="434" t="str">
        <f t="shared" si="1"/>
        <v/>
      </c>
      <c r="E51" s="435" t="str">
        <f t="shared" ref="E51:E58" si="6">IF(A51&lt;&gt;"",(FerienWoche*42/24)*D51/12*C51/100,"")</f>
        <v/>
      </c>
      <c r="F51" s="435" t="str">
        <f t="shared" si="2"/>
        <v/>
      </c>
      <c r="G51" s="436" t="str">
        <f t="shared" si="3"/>
        <v/>
      </c>
      <c r="H51" s="436" t="str">
        <f t="shared" si="4"/>
        <v/>
      </c>
      <c r="I51" s="437" t="str">
        <f t="shared" si="5"/>
        <v/>
      </c>
      <c r="J51" s="438" t="str">
        <f t="shared" si="0"/>
        <v/>
      </c>
    </row>
    <row r="52" spans="1:10" outlineLevel="1" x14ac:dyDescent="0.2">
      <c r="A52" s="439"/>
      <c r="B52" s="432"/>
      <c r="C52" s="433"/>
      <c r="D52" s="434" t="str">
        <f t="shared" si="1"/>
        <v/>
      </c>
      <c r="E52" s="435" t="str">
        <f t="shared" si="6"/>
        <v/>
      </c>
      <c r="F52" s="435" t="str">
        <f t="shared" si="2"/>
        <v/>
      </c>
      <c r="G52" s="436" t="str">
        <f t="shared" si="3"/>
        <v/>
      </c>
      <c r="H52" s="436" t="str">
        <f t="shared" si="4"/>
        <v/>
      </c>
      <c r="I52" s="437" t="str">
        <f t="shared" si="5"/>
        <v/>
      </c>
      <c r="J52" s="438" t="str">
        <f t="shared" si="0"/>
        <v/>
      </c>
    </row>
    <row r="53" spans="1:10" outlineLevel="1" x14ac:dyDescent="0.2">
      <c r="A53" s="439"/>
      <c r="B53" s="432"/>
      <c r="C53" s="433"/>
      <c r="D53" s="434" t="str">
        <f t="shared" si="1"/>
        <v/>
      </c>
      <c r="E53" s="435" t="str">
        <f t="shared" si="6"/>
        <v/>
      </c>
      <c r="F53" s="435" t="str">
        <f t="shared" si="2"/>
        <v/>
      </c>
      <c r="G53" s="436" t="str">
        <f t="shared" si="3"/>
        <v/>
      </c>
      <c r="H53" s="436" t="str">
        <f t="shared" si="4"/>
        <v/>
      </c>
      <c r="I53" s="437" t="str">
        <f t="shared" si="5"/>
        <v/>
      </c>
      <c r="J53" s="438" t="str">
        <f t="shared" si="0"/>
        <v/>
      </c>
    </row>
    <row r="54" spans="1:10" outlineLevel="1" x14ac:dyDescent="0.2">
      <c r="A54" s="439"/>
      <c r="B54" s="432"/>
      <c r="C54" s="433"/>
      <c r="D54" s="434" t="str">
        <f t="shared" si="1"/>
        <v/>
      </c>
      <c r="E54" s="435" t="str">
        <f t="shared" si="6"/>
        <v/>
      </c>
      <c r="F54" s="435" t="str">
        <f t="shared" si="2"/>
        <v/>
      </c>
      <c r="G54" s="436" t="str">
        <f t="shared" si="3"/>
        <v/>
      </c>
      <c r="H54" s="436" t="str">
        <f t="shared" si="4"/>
        <v/>
      </c>
      <c r="I54" s="437" t="str">
        <f t="shared" si="5"/>
        <v/>
      </c>
      <c r="J54" s="438" t="str">
        <f t="shared" si="0"/>
        <v/>
      </c>
    </row>
    <row r="55" spans="1:10" outlineLevel="1" x14ac:dyDescent="0.2">
      <c r="A55" s="439"/>
      <c r="B55" s="432"/>
      <c r="C55" s="433"/>
      <c r="D55" s="434" t="str">
        <f t="shared" si="1"/>
        <v/>
      </c>
      <c r="E55" s="435" t="str">
        <f t="shared" si="6"/>
        <v/>
      </c>
      <c r="F55" s="435" t="str">
        <f t="shared" si="2"/>
        <v/>
      </c>
      <c r="G55" s="436" t="str">
        <f t="shared" si="3"/>
        <v/>
      </c>
      <c r="H55" s="436" t="str">
        <f t="shared" si="4"/>
        <v/>
      </c>
      <c r="I55" s="437" t="str">
        <f t="shared" si="5"/>
        <v/>
      </c>
      <c r="J55" s="438" t="str">
        <f t="shared" si="0"/>
        <v/>
      </c>
    </row>
    <row r="56" spans="1:10" outlineLevel="1" x14ac:dyDescent="0.2">
      <c r="A56" s="439"/>
      <c r="B56" s="432"/>
      <c r="C56" s="433"/>
      <c r="D56" s="434" t="str">
        <f t="shared" si="1"/>
        <v/>
      </c>
      <c r="E56" s="435" t="str">
        <f t="shared" si="6"/>
        <v/>
      </c>
      <c r="F56" s="435" t="str">
        <f t="shared" si="2"/>
        <v/>
      </c>
      <c r="G56" s="436" t="str">
        <f t="shared" si="3"/>
        <v/>
      </c>
      <c r="H56" s="436" t="str">
        <f t="shared" si="4"/>
        <v/>
      </c>
      <c r="I56" s="437" t="str">
        <f t="shared" si="5"/>
        <v/>
      </c>
      <c r="J56" s="438" t="str">
        <f t="shared" si="0"/>
        <v/>
      </c>
    </row>
    <row r="57" spans="1:10" outlineLevel="1" x14ac:dyDescent="0.2">
      <c r="A57" s="439"/>
      <c r="B57" s="432"/>
      <c r="C57" s="433"/>
      <c r="D57" s="434" t="str">
        <f t="shared" si="1"/>
        <v/>
      </c>
      <c r="E57" s="435" t="str">
        <f t="shared" si="6"/>
        <v/>
      </c>
      <c r="F57" s="435" t="str">
        <f t="shared" si="2"/>
        <v/>
      </c>
      <c r="G57" s="436" t="str">
        <f t="shared" si="3"/>
        <v/>
      </c>
      <c r="H57" s="436" t="str">
        <f t="shared" si="4"/>
        <v/>
      </c>
      <c r="I57" s="437" t="str">
        <f t="shared" si="5"/>
        <v/>
      </c>
      <c r="J57" s="438" t="str">
        <f t="shared" si="0"/>
        <v/>
      </c>
    </row>
    <row r="58" spans="1:10" outlineLevel="1" x14ac:dyDescent="0.2">
      <c r="A58" s="440"/>
      <c r="B58" s="441"/>
      <c r="C58" s="442"/>
      <c r="D58" s="443" t="str">
        <f t="shared" si="1"/>
        <v/>
      </c>
      <c r="E58" s="444" t="str">
        <f t="shared" si="6"/>
        <v/>
      </c>
      <c r="F58" s="444" t="str">
        <f t="shared" si="2"/>
        <v/>
      </c>
      <c r="G58" s="445" t="str">
        <f t="shared" si="3"/>
        <v/>
      </c>
      <c r="H58" s="445" t="str">
        <f t="shared" si="4"/>
        <v/>
      </c>
      <c r="I58" s="437" t="str">
        <f t="shared" si="5"/>
        <v/>
      </c>
      <c r="J58" s="446" t="str">
        <f t="shared" si="0"/>
        <v/>
      </c>
    </row>
    <row r="59" spans="1:10" outlineLevel="1" x14ac:dyDescent="0.2">
      <c r="F59" s="390"/>
      <c r="G59" s="390"/>
      <c r="I59" s="390"/>
    </row>
    <row r="60" spans="1:10" outlineLevel="1" x14ac:dyDescent="0.2">
      <c r="A60" t="s">
        <v>69</v>
      </c>
      <c r="B60" t="s">
        <v>69</v>
      </c>
      <c r="C60" t="s">
        <v>69</v>
      </c>
      <c r="D60" t="s">
        <v>69</v>
      </c>
      <c r="F60" s="390"/>
      <c r="G60" s="390"/>
      <c r="I60" s="390"/>
    </row>
    <row r="61" spans="1:10" outlineLevel="1" x14ac:dyDescent="0.2">
      <c r="F61" s="390"/>
      <c r="G61" s="390"/>
      <c r="I61" s="390"/>
    </row>
    <row r="62" spans="1:10" outlineLevel="1" x14ac:dyDescent="0.2">
      <c r="A62" s="1113" t="str">
        <f>A1</f>
        <v>Jahr</v>
      </c>
      <c r="B62" s="447">
        <f>B1</f>
        <v>2008</v>
      </c>
      <c r="C62" s="447"/>
      <c r="D62" s="448"/>
      <c r="E62" t="s">
        <v>69</v>
      </c>
      <c r="F62" s="390"/>
      <c r="G62" s="390"/>
      <c r="I62" s="1114" t="str">
        <f>B10</f>
        <v>Version 09_0821</v>
      </c>
      <c r="J62" s="1115"/>
    </row>
    <row r="63" spans="1:10" outlineLevel="1" x14ac:dyDescent="0.2">
      <c r="A63" s="449"/>
      <c r="B63" s="377">
        <f>B2</f>
        <v>0</v>
      </c>
      <c r="C63" s="377"/>
      <c r="D63" s="450"/>
      <c r="F63" s="390"/>
      <c r="G63" s="390"/>
      <c r="I63" s="390"/>
    </row>
    <row r="64" spans="1:10" outlineLevel="1" x14ac:dyDescent="0.2">
      <c r="A64" s="451" t="str">
        <f>A3</f>
        <v>Name</v>
      </c>
      <c r="B64" s="452" t="str">
        <f>B3</f>
        <v>Musterstelle</v>
      </c>
      <c r="C64" s="452"/>
      <c r="D64" s="450"/>
      <c r="E64" t="s">
        <v>69</v>
      </c>
      <c r="F64" s="390"/>
      <c r="G64" s="390"/>
      <c r="I64" s="390"/>
    </row>
    <row r="65" spans="1:9" outlineLevel="1" x14ac:dyDescent="0.2">
      <c r="A65" s="449" t="str">
        <f>A4</f>
        <v>Jahrgang</v>
      </c>
      <c r="B65" s="453">
        <f>B4</f>
        <v>1930</v>
      </c>
      <c r="C65" s="453"/>
      <c r="D65" s="450"/>
      <c r="E65" t="s">
        <v>69</v>
      </c>
      <c r="F65" s="390"/>
      <c r="G65" s="390"/>
      <c r="I65" s="390"/>
    </row>
    <row r="66" spans="1:9" outlineLevel="1" x14ac:dyDescent="0.2">
      <c r="A66" s="449" t="str">
        <f>A5</f>
        <v>Amt</v>
      </c>
      <c r="B66" s="377" t="str">
        <f>B5</f>
        <v>Musterstelle</v>
      </c>
      <c r="C66" s="377"/>
      <c r="D66" s="450"/>
      <c r="E66" t="s">
        <v>69</v>
      </c>
      <c r="F66" s="390"/>
      <c r="G66" s="390"/>
      <c r="I66" s="390"/>
    </row>
    <row r="67" spans="1:9" outlineLevel="1" x14ac:dyDescent="0.2">
      <c r="A67" s="454" t="str">
        <f>A6</f>
        <v>Abteilung</v>
      </c>
      <c r="B67" s="455" t="str">
        <f>B6</f>
        <v>Muster</v>
      </c>
      <c r="C67" s="455"/>
      <c r="D67" s="456"/>
      <c r="E67" t="s">
        <v>69</v>
      </c>
      <c r="F67" s="390"/>
      <c r="G67" s="390"/>
      <c r="I67" s="390"/>
    </row>
    <row r="68" spans="1:9" outlineLevel="1" x14ac:dyDescent="0.2">
      <c r="F68" s="390"/>
      <c r="G68" s="390"/>
      <c r="I68" s="390"/>
    </row>
    <row r="69" spans="1:9" outlineLevel="1" x14ac:dyDescent="0.2">
      <c r="F69" s="390"/>
      <c r="G69" s="390"/>
      <c r="I69" s="390"/>
    </row>
    <row r="70" spans="1:9" ht="15.75" outlineLevel="1" x14ac:dyDescent="0.25">
      <c r="A70" s="429" t="s">
        <v>549</v>
      </c>
    </row>
    <row r="71" spans="1:9" outlineLevel="1" x14ac:dyDescent="0.2">
      <c r="F71" s="390"/>
      <c r="G71" s="390"/>
      <c r="I71" s="390"/>
    </row>
    <row r="72" spans="1:9" ht="25.5" outlineLevel="1" x14ac:dyDescent="0.2">
      <c r="A72" s="1116" t="s">
        <v>78</v>
      </c>
      <c r="B72" s="1117" t="s">
        <v>79</v>
      </c>
      <c r="C72" s="1117" t="s">
        <v>80</v>
      </c>
      <c r="D72" s="1118" t="s">
        <v>81</v>
      </c>
      <c r="E72" s="1117" t="s">
        <v>550</v>
      </c>
      <c r="F72" s="1117" t="s">
        <v>83</v>
      </c>
      <c r="G72" s="1119" t="s">
        <v>84</v>
      </c>
      <c r="H72" s="1117"/>
      <c r="I72" s="1120" t="s">
        <v>85</v>
      </c>
    </row>
    <row r="73" spans="1:9" outlineLevel="1" x14ac:dyDescent="0.2">
      <c r="A73" s="457">
        <f>ctPersonalangaben!H12</f>
        <v>44561</v>
      </c>
      <c r="B73" s="378">
        <f>ctPersonalangaben!I12</f>
        <v>44925</v>
      </c>
      <c r="C73" s="458">
        <f>IF(ctPersonalangaben!J12&lt;&gt;"",ctPersonalangaben!J12,"")</f>
        <v>100</v>
      </c>
      <c r="D73" s="459">
        <f>ctPersonalangaben!K12</f>
        <v>12</v>
      </c>
      <c r="E73" s="460">
        <f>IF(AND(ctPersonalangaben!H12&lt;&gt;"",ctPersonalangaben!I12&lt;&gt;""),$I$5*D73/12*C73/100,"")</f>
        <v>0</v>
      </c>
      <c r="F73" s="460">
        <f>IF(ctPersonalangaben!H12&lt;&gt;"",E73,"")</f>
        <v>0</v>
      </c>
      <c r="G73" s="461">
        <f>IF(ctPersonalangaben!J12&lt;&gt;"",C73*D73/12,"")</f>
        <v>100</v>
      </c>
      <c r="H73" s="461" t="str">
        <f>IF(AND(ctPersonalangaben!H12&lt;&gt;"",ctPersonalangaben!I12&lt;&gt;""),IF(G73&gt;100,"Fehler",""),"")</f>
        <v/>
      </c>
      <c r="I73" s="462">
        <f>IF(AND(ctPersonalangaben!H12&lt;&gt;"",ctPersonalangaben!I12&lt;&gt;""),IF(H73="",LOOKUP(F73+"4:11",A$108:A$168),""),"")</f>
        <v>0</v>
      </c>
    </row>
    <row r="74" spans="1:9" outlineLevel="1" x14ac:dyDescent="0.2">
      <c r="A74" s="457">
        <f>ctPersonalangaben!H13</f>
        <v>0</v>
      </c>
      <c r="B74" s="378">
        <f>ctPersonalangaben!I13</f>
        <v>0</v>
      </c>
      <c r="C74" s="458" t="str">
        <f>IF(ctPersonalangaben!J13&lt;&gt;"",ctPersonalangaben!J13,"")</f>
        <v/>
      </c>
      <c r="D74" s="459" t="str">
        <f>ctPersonalangaben!K13</f>
        <v/>
      </c>
      <c r="E74" s="460" t="str">
        <f>IF(ctPersonalangaben!H13&lt;&gt;"",$I$5*D74/12*C74/100,"")</f>
        <v/>
      </c>
      <c r="F74" s="460" t="str">
        <f>IF(ctPersonalangaben!H13&lt;&gt;0,F73+E74,"")</f>
        <v/>
      </c>
      <c r="G74" s="461" t="str">
        <f>IF(ctPersonalangaben!J13&lt;&gt;"",C74*D74/12+G73,"")</f>
        <v/>
      </c>
      <c r="H74" s="461" t="str">
        <f>IF(ctPersonalangaben!H13&lt;&gt;"",IF(G74&gt;100,"Fehler",""),"")</f>
        <v/>
      </c>
      <c r="I74" s="462" t="str">
        <f>IF(ctPersonalangaben!H13&lt;&gt;"",IF(H74="",LOOKUP(F74+"4:11",A$108:A$168),""),"")</f>
        <v/>
      </c>
    </row>
    <row r="75" spans="1:9" outlineLevel="1" x14ac:dyDescent="0.2">
      <c r="A75" s="457">
        <f>ctPersonalangaben!H14</f>
        <v>0</v>
      </c>
      <c r="B75" s="378">
        <f>ctPersonalangaben!I14</f>
        <v>0</v>
      </c>
      <c r="C75" s="458" t="str">
        <f>IF(ctPersonalangaben!J14&lt;&gt;"",ctPersonalangaben!J14,"")</f>
        <v/>
      </c>
      <c r="D75" s="459" t="str">
        <f>ctPersonalangaben!K14</f>
        <v/>
      </c>
      <c r="E75" s="460" t="str">
        <f>IF(ctPersonalangaben!H14&lt;&gt;"",$I$5*D75/12*C75/100,"")</f>
        <v/>
      </c>
      <c r="F75" s="460" t="str">
        <f>IF(ctPersonalangaben!H14&lt;&gt;0,F74+E75,"")</f>
        <v/>
      </c>
      <c r="G75" s="461" t="str">
        <f>IF(ctPersonalangaben!J14&lt;&gt;"",C75*D75/12+G74,"")</f>
        <v/>
      </c>
      <c r="H75" s="461" t="str">
        <f>IF(ctPersonalangaben!H14&lt;&gt;"",IF(G75&gt;100,"Fehler",""),"")</f>
        <v/>
      </c>
      <c r="I75" s="462" t="str">
        <f>IF(ctPersonalangaben!H14&lt;&gt;"",IF(H75="",LOOKUP(F75+"4:11",A$108:A$168),""),"")</f>
        <v/>
      </c>
    </row>
    <row r="76" spans="1:9" outlineLevel="1" x14ac:dyDescent="0.2">
      <c r="A76" s="457">
        <f>ctPersonalangaben!H15</f>
        <v>0</v>
      </c>
      <c r="B76" s="378">
        <f>ctPersonalangaben!I15</f>
        <v>0</v>
      </c>
      <c r="C76" s="458" t="str">
        <f>IF(ctPersonalangaben!J15&lt;&gt;"",ctPersonalangaben!J15,"")</f>
        <v/>
      </c>
      <c r="D76" s="459" t="str">
        <f>ctPersonalangaben!K15</f>
        <v/>
      </c>
      <c r="E76" s="460" t="str">
        <f>IF(ctPersonalangaben!H15&lt;&gt;"",$I$5*D76/12*C76/100,"")</f>
        <v/>
      </c>
      <c r="F76" s="460" t="str">
        <f>IF(ctPersonalangaben!H15&lt;&gt;0,F75+E76,"")</f>
        <v/>
      </c>
      <c r="G76" s="461" t="str">
        <f>IF(ctPersonalangaben!J15&lt;&gt;"",C76*D76/12+G75,"")</f>
        <v/>
      </c>
      <c r="H76" s="461" t="str">
        <f>IF(ctPersonalangaben!H15&lt;&gt;"",IF(G76&gt;100,"Fehler",""),"")</f>
        <v/>
      </c>
      <c r="I76" s="462" t="str">
        <f>IF(ctPersonalangaben!H15&lt;&gt;"",IF(H76="",LOOKUP(F76+"4:11",A$108:A$168),""),"")</f>
        <v/>
      </c>
    </row>
    <row r="77" spans="1:9" outlineLevel="1" x14ac:dyDescent="0.2">
      <c r="A77" s="457">
        <f>ctPersonalangaben!H16</f>
        <v>0</v>
      </c>
      <c r="B77" s="378">
        <f>ctPersonalangaben!I16</f>
        <v>0</v>
      </c>
      <c r="C77" s="458" t="str">
        <f>IF(ctPersonalangaben!J16&lt;&gt;"",ctPersonalangaben!J16,"")</f>
        <v/>
      </c>
      <c r="D77" s="459" t="str">
        <f>ctPersonalangaben!K16</f>
        <v/>
      </c>
      <c r="E77" s="460" t="str">
        <f>IF(ctPersonalangaben!H16&lt;&gt;"",$I$5*D77/12*C77/100,"")</f>
        <v/>
      </c>
      <c r="F77" s="460" t="str">
        <f>IF(ctPersonalangaben!H16&lt;&gt;0,F76+E77,"")</f>
        <v/>
      </c>
      <c r="G77" s="461" t="str">
        <f>IF(ctPersonalangaben!J16&lt;&gt;"",C77*D77/12+G76,"")</f>
        <v/>
      </c>
      <c r="H77" s="461" t="str">
        <f>IF(ctPersonalangaben!H16&lt;&gt;"",IF(G77&gt;100,"Fehler",""),"")</f>
        <v/>
      </c>
      <c r="I77" s="462" t="str">
        <f>IF(ctPersonalangaben!H16&lt;&gt;"",IF(H77="",LOOKUP(F77+"4:11",A$108:A$168),""),"")</f>
        <v/>
      </c>
    </row>
    <row r="78" spans="1:9" outlineLevel="1" x14ac:dyDescent="0.2">
      <c r="A78" s="457">
        <f>ctPersonalangaben!H17</f>
        <v>0</v>
      </c>
      <c r="B78" s="378">
        <f>ctPersonalangaben!I17</f>
        <v>0</v>
      </c>
      <c r="C78" s="458" t="str">
        <f>IF(ctPersonalangaben!J17&lt;&gt;"",ctPersonalangaben!J17,"")</f>
        <v/>
      </c>
      <c r="D78" s="459" t="str">
        <f>ctPersonalangaben!K17</f>
        <v/>
      </c>
      <c r="E78" s="460" t="str">
        <f>IF(ctPersonalangaben!H17&lt;&gt;"",$I$5*D78/12*C78/100,"")</f>
        <v/>
      </c>
      <c r="F78" s="460" t="str">
        <f>IF(ctPersonalangaben!H17&lt;&gt;0,F77+E78,"")</f>
        <v/>
      </c>
      <c r="G78" s="461" t="str">
        <f>IF(ctPersonalangaben!J17&lt;&gt;"",C78*D78/12+G77,"")</f>
        <v/>
      </c>
      <c r="H78" s="461" t="str">
        <f>IF(ctPersonalangaben!H17&lt;&gt;"",IF(G78&gt;100,"Fehler",""),"")</f>
        <v/>
      </c>
      <c r="I78" s="462" t="str">
        <f>IF(ctPersonalangaben!H17&lt;&gt;"",IF(H78="",LOOKUP(F78+"4:11",A$108:A$168),""),"")</f>
        <v/>
      </c>
    </row>
    <row r="79" spans="1:9" outlineLevel="1" x14ac:dyDescent="0.2">
      <c r="A79" s="457">
        <f>ctPersonalangaben!H18</f>
        <v>0</v>
      </c>
      <c r="B79" s="378">
        <f>ctPersonalangaben!I18</f>
        <v>0</v>
      </c>
      <c r="C79" s="458" t="str">
        <f>IF(ctPersonalangaben!J18&lt;&gt;"",ctPersonalangaben!J18,"")</f>
        <v/>
      </c>
      <c r="D79" s="459" t="str">
        <f>ctPersonalangaben!K18</f>
        <v/>
      </c>
      <c r="E79" s="460" t="str">
        <f>IF(ctPersonalangaben!H18&lt;&gt;"",$I$5*D79/12*C79/100,"")</f>
        <v/>
      </c>
      <c r="F79" s="460" t="str">
        <f>IF(ctPersonalangaben!H18&lt;&gt;0,F78+E79,"")</f>
        <v/>
      </c>
      <c r="G79" s="461" t="str">
        <f>IF(ctPersonalangaben!J18&lt;&gt;"",C79*D79/12+G78,"")</f>
        <v/>
      </c>
      <c r="H79" s="461" t="str">
        <f>IF(ctPersonalangaben!H18&lt;&gt;"",IF(G79&gt;100,"Fehler",""),"")</f>
        <v/>
      </c>
      <c r="I79" s="462" t="str">
        <f>IF(ctPersonalangaben!H18&lt;&gt;"",IF(H79="",LOOKUP(F79+"4:11",A$108:A$168),""),"")</f>
        <v/>
      </c>
    </row>
    <row r="80" spans="1:9" outlineLevel="1" x14ac:dyDescent="0.2">
      <c r="A80" s="457">
        <f>ctPersonalangaben!H19</f>
        <v>0</v>
      </c>
      <c r="B80" s="378">
        <f>ctPersonalangaben!I19</f>
        <v>0</v>
      </c>
      <c r="C80" s="458" t="str">
        <f>IF(ctPersonalangaben!J19&lt;&gt;"",ctPersonalangaben!J19,"")</f>
        <v/>
      </c>
      <c r="D80" s="459" t="str">
        <f>ctPersonalangaben!K19</f>
        <v/>
      </c>
      <c r="E80" s="460" t="str">
        <f>IF(ctPersonalangaben!H19&lt;&gt;"",$I$5*D80/12*C80/100,"")</f>
        <v/>
      </c>
      <c r="F80" s="460" t="str">
        <f>IF(ctPersonalangaben!H19&lt;&gt;0,F79+E80,"")</f>
        <v/>
      </c>
      <c r="G80" s="461" t="str">
        <f>IF(ctPersonalangaben!J19&lt;&gt;"",C80*D80/12+G79,"")</f>
        <v/>
      </c>
      <c r="H80" s="461" t="str">
        <f>IF(ctPersonalangaben!H19&lt;&gt;"",IF(G80&gt;100,"Fehler",""),"")</f>
        <v/>
      </c>
      <c r="I80" s="462" t="str">
        <f>IF(ctPersonalangaben!H19&lt;&gt;"",IF(H80="",LOOKUP(F80+"4:11",A$108:A$168),""),"")</f>
        <v/>
      </c>
    </row>
    <row r="81" spans="1:12" outlineLevel="1" x14ac:dyDescent="0.2">
      <c r="A81" s="457">
        <f>ctPersonalangaben!H20</f>
        <v>0</v>
      </c>
      <c r="B81" s="378">
        <f>ctPersonalangaben!I20</f>
        <v>0</v>
      </c>
      <c r="C81" s="458" t="str">
        <f>IF(ctPersonalangaben!J20&lt;&gt;"",ctPersonalangaben!J20,"")</f>
        <v/>
      </c>
      <c r="D81" s="459" t="str">
        <f>ctPersonalangaben!K20</f>
        <v/>
      </c>
      <c r="E81" s="460" t="str">
        <f>IF(ctPersonalangaben!H20&lt;&gt;"",$I$5*D81/12*C81/100,"")</f>
        <v/>
      </c>
      <c r="F81" s="460" t="str">
        <f>IF(ctPersonalangaben!H20&lt;&gt;0,F80+E81,"")</f>
        <v/>
      </c>
      <c r="G81" s="461" t="str">
        <f>IF(ctPersonalangaben!J20&lt;&gt;"",C81*D81/12+G80,"")</f>
        <v/>
      </c>
      <c r="H81" s="461" t="str">
        <f>IF(ctPersonalangaben!H20&lt;&gt;"",IF(G81&gt;100,"Fehler",""),"")</f>
        <v/>
      </c>
      <c r="I81" s="462" t="str">
        <f>IF(ctPersonalangaben!H20&lt;&gt;"",IF(H81="",LOOKUP(F81+"4:11",A$108:A$168),""),"")</f>
        <v/>
      </c>
    </row>
    <row r="82" spans="1:12" outlineLevel="1" x14ac:dyDescent="0.2">
      <c r="A82" s="463">
        <f>ctPersonalangaben!H21</f>
        <v>0</v>
      </c>
      <c r="B82" s="464">
        <f>ctPersonalangaben!I21</f>
        <v>0</v>
      </c>
      <c r="C82" s="465" t="str">
        <f>IF(ctPersonalangaben!J21&lt;&gt;"",ctPersonalangaben!J21,"")</f>
        <v/>
      </c>
      <c r="D82" s="466" t="str">
        <f>ctPersonalangaben!K21</f>
        <v/>
      </c>
      <c r="E82" s="467" t="str">
        <f>IF(ctPersonalangaben!H21&lt;&gt;"",$I$5*D82/12*C82/100,"")</f>
        <v/>
      </c>
      <c r="F82" s="467" t="str">
        <f>IF(ctPersonalangaben!H21&lt;&gt;0,F81+E82,"")</f>
        <v/>
      </c>
      <c r="G82" s="468" t="str">
        <f>IF(ctPersonalangaben!J21&lt;&gt;"",C82*D82/12+G81,"")</f>
        <v/>
      </c>
      <c r="H82" s="468" t="str">
        <f>IF(ctPersonalangaben!H21&lt;&gt;"",IF(G82&gt;100,"Fehler",""),"")</f>
        <v/>
      </c>
      <c r="I82" s="469" t="str">
        <f>IF(ctPersonalangaben!H21&lt;&gt;"",IF(H82="",LOOKUP(F82+"4:11",A$108:A$168),""),"")</f>
        <v/>
      </c>
    </row>
    <row r="83" spans="1:12" outlineLevel="1" x14ac:dyDescent="0.2">
      <c r="A83" s="470"/>
    </row>
    <row r="84" spans="1:12" ht="15.75" outlineLevel="1" x14ac:dyDescent="0.25">
      <c r="A84" s="423" t="s">
        <v>551</v>
      </c>
    </row>
    <row r="85" spans="1:12" ht="15.75" outlineLevel="1" x14ac:dyDescent="0.25">
      <c r="A85" s="423" t="s">
        <v>103</v>
      </c>
      <c r="D85" s="401"/>
      <c r="G85" s="1114"/>
      <c r="H85" s="1121" t="s">
        <v>552</v>
      </c>
    </row>
    <row r="86" spans="1:12" outlineLevel="1" x14ac:dyDescent="0.2">
      <c r="B86" s="471" t="s">
        <v>553</v>
      </c>
      <c r="D86" s="401"/>
      <c r="F86" s="472" t="s">
        <v>103</v>
      </c>
      <c r="G86" s="473"/>
      <c r="H86" s="473"/>
      <c r="I86" s="473"/>
      <c r="J86" s="473"/>
    </row>
    <row r="87" spans="1:12" outlineLevel="1" x14ac:dyDescent="0.2">
      <c r="A87" s="1144" t="s">
        <v>131</v>
      </c>
      <c r="B87" s="1145"/>
      <c r="C87" s="1146" t="s">
        <v>554</v>
      </c>
      <c r="D87" s="1122" t="s">
        <v>555</v>
      </c>
      <c r="E87" s="1123"/>
      <c r="F87" s="1147">
        <v>1</v>
      </c>
      <c r="G87" s="1124" t="s">
        <v>136</v>
      </c>
      <c r="H87" s="1148" t="s">
        <v>556</v>
      </c>
      <c r="I87" s="1124" t="s">
        <v>557</v>
      </c>
      <c r="J87" s="1124" t="s">
        <v>558</v>
      </c>
    </row>
    <row r="88" spans="1:12" outlineLevel="1" x14ac:dyDescent="0.2">
      <c r="A88" s="1149">
        <v>37986</v>
      </c>
      <c r="B88" s="1150">
        <f t="shared" ref="B88:B101" si="7">IF(A88="","",A88)</f>
        <v>37986</v>
      </c>
      <c r="C88" s="1151">
        <v>0</v>
      </c>
      <c r="D88" s="1125" t="s">
        <v>141</v>
      </c>
      <c r="E88" s="1126"/>
      <c r="F88" s="1151">
        <f t="shared" ref="F88:F101" si="8">IF(AND(A88&lt;&gt;"",WEEKDAY(A88,2)&lt;6),(8.4-C88*24)/24,0)</f>
        <v>0.35000000000000003</v>
      </c>
      <c r="G88" s="1151">
        <f>F88</f>
        <v>0.35000000000000003</v>
      </c>
      <c r="H88" s="1152">
        <f t="shared" ref="H88:H101" si="9">IF(ISERROR(VLOOKUP(A88,Ferienanspruch,3)/100),0,VLOOKUP(A88,Ferienanspruch,3)/100)</f>
        <v>0</v>
      </c>
      <c r="I88" s="1151">
        <f t="shared" ref="I88:I101" si="10">F88*H88</f>
        <v>0</v>
      </c>
      <c r="J88" s="1151">
        <f>I88</f>
        <v>0</v>
      </c>
      <c r="L88" s="474"/>
    </row>
    <row r="89" spans="1:12" outlineLevel="1" x14ac:dyDescent="0.2">
      <c r="A89" s="1149">
        <v>37987</v>
      </c>
      <c r="B89" s="1150">
        <f t="shared" si="7"/>
        <v>37987</v>
      </c>
      <c r="C89" s="1151">
        <v>0</v>
      </c>
      <c r="D89" s="1125" t="s">
        <v>143</v>
      </c>
      <c r="E89" s="1126"/>
      <c r="F89" s="1151">
        <f t="shared" si="8"/>
        <v>0.35000000000000003</v>
      </c>
      <c r="G89" s="1151">
        <f t="shared" ref="G89:G101" si="11">G88+F89</f>
        <v>0.70000000000000007</v>
      </c>
      <c r="H89" s="1152">
        <f t="shared" si="9"/>
        <v>0</v>
      </c>
      <c r="I89" s="1151">
        <f t="shared" si="10"/>
        <v>0</v>
      </c>
      <c r="J89" s="1151">
        <f t="shared" ref="J89:J101" si="12">J88+I89</f>
        <v>0</v>
      </c>
    </row>
    <row r="90" spans="1:12" outlineLevel="1" x14ac:dyDescent="0.2">
      <c r="A90" s="1149">
        <v>38065</v>
      </c>
      <c r="B90" s="1150">
        <f t="shared" si="7"/>
        <v>38065</v>
      </c>
      <c r="C90" s="1151">
        <v>0.26666666666666666</v>
      </c>
      <c r="D90" s="1125" t="s">
        <v>144</v>
      </c>
      <c r="E90" s="1126"/>
      <c r="F90" s="1151">
        <f t="shared" si="8"/>
        <v>8.3333333333333329E-2</v>
      </c>
      <c r="G90" s="1151">
        <f t="shared" si="11"/>
        <v>0.78333333333333344</v>
      </c>
      <c r="H90" s="1152">
        <f t="shared" si="9"/>
        <v>0</v>
      </c>
      <c r="I90" s="1151">
        <f t="shared" si="10"/>
        <v>0</v>
      </c>
      <c r="J90" s="1151">
        <f t="shared" si="12"/>
        <v>0</v>
      </c>
    </row>
    <row r="91" spans="1:12" outlineLevel="1" x14ac:dyDescent="0.2">
      <c r="A91" s="1149">
        <v>38066</v>
      </c>
      <c r="B91" s="1150">
        <f t="shared" si="7"/>
        <v>38066</v>
      </c>
      <c r="C91" s="1151">
        <v>0</v>
      </c>
      <c r="D91" s="1125" t="s">
        <v>146</v>
      </c>
      <c r="E91" s="1126"/>
      <c r="F91" s="1151">
        <f t="shared" si="8"/>
        <v>0.35000000000000003</v>
      </c>
      <c r="G91" s="1151">
        <f t="shared" si="11"/>
        <v>1.1333333333333335</v>
      </c>
      <c r="H91" s="1152">
        <f t="shared" si="9"/>
        <v>0</v>
      </c>
      <c r="I91" s="1151">
        <f t="shared" si="10"/>
        <v>0</v>
      </c>
      <c r="J91" s="1151">
        <f t="shared" si="12"/>
        <v>0</v>
      </c>
    </row>
    <row r="92" spans="1:12" outlineLevel="1" x14ac:dyDescent="0.2">
      <c r="A92" s="1149">
        <v>38069</v>
      </c>
      <c r="B92" s="1150">
        <f t="shared" si="7"/>
        <v>38069</v>
      </c>
      <c r="C92" s="1151">
        <v>0</v>
      </c>
      <c r="D92" s="1125" t="s">
        <v>148</v>
      </c>
      <c r="E92" s="1126"/>
      <c r="F92" s="1151">
        <f t="shared" si="8"/>
        <v>0.35000000000000003</v>
      </c>
      <c r="G92" s="1151">
        <f t="shared" si="11"/>
        <v>1.4833333333333336</v>
      </c>
      <c r="H92" s="1152">
        <f t="shared" si="9"/>
        <v>0</v>
      </c>
      <c r="I92" s="1151">
        <f t="shared" si="10"/>
        <v>0</v>
      </c>
      <c r="J92" s="1151">
        <f t="shared" si="12"/>
        <v>0</v>
      </c>
    </row>
    <row r="93" spans="1:12" outlineLevel="1" x14ac:dyDescent="0.2">
      <c r="A93" s="1149">
        <v>38106</v>
      </c>
      <c r="B93" s="1150">
        <f t="shared" si="7"/>
        <v>38106</v>
      </c>
      <c r="C93" s="1151">
        <v>0.26666666666666666</v>
      </c>
      <c r="D93" s="1125" t="s">
        <v>150</v>
      </c>
      <c r="E93" s="1126"/>
      <c r="F93" s="1151">
        <f t="shared" si="8"/>
        <v>8.3333333333333329E-2</v>
      </c>
      <c r="G93" s="1151">
        <f t="shared" si="11"/>
        <v>1.5666666666666669</v>
      </c>
      <c r="H93" s="1152">
        <f t="shared" si="9"/>
        <v>0</v>
      </c>
      <c r="I93" s="1151">
        <f t="shared" si="10"/>
        <v>0</v>
      </c>
      <c r="J93" s="1151">
        <f t="shared" si="12"/>
        <v>0</v>
      </c>
    </row>
    <row r="94" spans="1:12" outlineLevel="1" x14ac:dyDescent="0.2">
      <c r="A94" s="1149">
        <v>38107</v>
      </c>
      <c r="B94" s="1150">
        <f t="shared" si="7"/>
        <v>38107</v>
      </c>
      <c r="C94" s="1151">
        <v>0</v>
      </c>
      <c r="D94" s="1125" t="s">
        <v>559</v>
      </c>
      <c r="E94" s="1126"/>
      <c r="F94" s="1151">
        <f t="shared" si="8"/>
        <v>0.35000000000000003</v>
      </c>
      <c r="G94" s="1151">
        <f t="shared" si="11"/>
        <v>1.916666666666667</v>
      </c>
      <c r="H94" s="1152">
        <f t="shared" si="9"/>
        <v>0</v>
      </c>
      <c r="I94" s="1151">
        <f t="shared" si="10"/>
        <v>0</v>
      </c>
      <c r="J94" s="1151">
        <f t="shared" si="12"/>
        <v>0</v>
      </c>
    </row>
    <row r="95" spans="1:12" outlineLevel="1" x14ac:dyDescent="0.2">
      <c r="A95" s="1149">
        <v>38118</v>
      </c>
      <c r="B95" s="1150">
        <f t="shared" si="7"/>
        <v>38118</v>
      </c>
      <c r="C95" s="1151">
        <v>0</v>
      </c>
      <c r="D95" s="1125" t="s">
        <v>152</v>
      </c>
      <c r="E95" s="1126"/>
      <c r="F95" s="1151">
        <f t="shared" si="8"/>
        <v>0.35000000000000003</v>
      </c>
      <c r="G95" s="1151">
        <f t="shared" si="11"/>
        <v>2.2666666666666671</v>
      </c>
      <c r="H95" s="1152">
        <f t="shared" si="9"/>
        <v>0</v>
      </c>
      <c r="I95" s="1151">
        <f t="shared" si="10"/>
        <v>0</v>
      </c>
      <c r="J95" s="1151">
        <f t="shared" si="12"/>
        <v>0</v>
      </c>
    </row>
    <row r="96" spans="1:12" outlineLevel="1" x14ac:dyDescent="0.2">
      <c r="A96" s="1149">
        <v>38199</v>
      </c>
      <c r="B96" s="1150">
        <f t="shared" si="7"/>
        <v>38199</v>
      </c>
      <c r="C96" s="1151">
        <v>0</v>
      </c>
      <c r="D96" s="1125" t="s">
        <v>470</v>
      </c>
      <c r="E96" s="1126"/>
      <c r="F96" s="1151">
        <f t="shared" si="8"/>
        <v>0.35000000000000003</v>
      </c>
      <c r="G96" s="1151">
        <f t="shared" si="11"/>
        <v>2.6166666666666671</v>
      </c>
      <c r="H96" s="1152">
        <f t="shared" si="9"/>
        <v>0</v>
      </c>
      <c r="I96" s="1151">
        <f t="shared" si="10"/>
        <v>0</v>
      </c>
      <c r="J96" s="1151">
        <f t="shared" si="12"/>
        <v>0</v>
      </c>
    </row>
    <row r="97" spans="1:10" outlineLevel="1" x14ac:dyDescent="0.2">
      <c r="A97" s="1149">
        <v>38344</v>
      </c>
      <c r="B97" s="1150">
        <f t="shared" si="7"/>
        <v>38344</v>
      </c>
      <c r="C97" s="1151">
        <v>0.17499999999999999</v>
      </c>
      <c r="D97" s="1125" t="s">
        <v>154</v>
      </c>
      <c r="E97" s="1126"/>
      <c r="F97" s="1151">
        <f t="shared" si="8"/>
        <v>0.17500000000000004</v>
      </c>
      <c r="G97" s="1151">
        <f t="shared" si="11"/>
        <v>2.791666666666667</v>
      </c>
      <c r="H97" s="1152">
        <f t="shared" si="9"/>
        <v>0</v>
      </c>
      <c r="I97" s="1151">
        <f t="shared" si="10"/>
        <v>0</v>
      </c>
      <c r="J97" s="1151">
        <f t="shared" si="12"/>
        <v>0</v>
      </c>
    </row>
    <row r="98" spans="1:10" outlineLevel="1" x14ac:dyDescent="0.2">
      <c r="A98" s="1149">
        <v>38345</v>
      </c>
      <c r="B98" s="1150">
        <f t="shared" si="7"/>
        <v>38345</v>
      </c>
      <c r="C98" s="1151">
        <v>0</v>
      </c>
      <c r="D98" s="1125" t="s">
        <v>560</v>
      </c>
      <c r="E98" s="1126"/>
      <c r="F98" s="1151">
        <f t="shared" si="8"/>
        <v>0.35000000000000003</v>
      </c>
      <c r="G98" s="1151">
        <f t="shared" si="11"/>
        <v>3.1416666666666671</v>
      </c>
      <c r="H98" s="1152">
        <f t="shared" si="9"/>
        <v>0</v>
      </c>
      <c r="I98" s="1151">
        <f t="shared" si="10"/>
        <v>0</v>
      </c>
      <c r="J98" s="1151">
        <f t="shared" si="12"/>
        <v>0</v>
      </c>
    </row>
    <row r="99" spans="1:10" outlineLevel="1" x14ac:dyDescent="0.2">
      <c r="A99" s="1149">
        <v>38346</v>
      </c>
      <c r="B99" s="1150">
        <f t="shared" si="7"/>
        <v>38346</v>
      </c>
      <c r="C99" s="1151">
        <v>0</v>
      </c>
      <c r="D99" s="1125" t="s">
        <v>156</v>
      </c>
      <c r="E99" s="1126"/>
      <c r="F99" s="1151">
        <f t="shared" si="8"/>
        <v>0.35000000000000003</v>
      </c>
      <c r="G99" s="1151">
        <f t="shared" si="11"/>
        <v>3.4916666666666671</v>
      </c>
      <c r="H99" s="1152">
        <f t="shared" si="9"/>
        <v>0</v>
      </c>
      <c r="I99" s="1151">
        <f t="shared" si="10"/>
        <v>0</v>
      </c>
      <c r="J99" s="1151">
        <f t="shared" si="12"/>
        <v>0</v>
      </c>
    </row>
    <row r="100" spans="1:10" outlineLevel="1" x14ac:dyDescent="0.2">
      <c r="A100" s="1149">
        <v>38351</v>
      </c>
      <c r="B100" s="1150">
        <f t="shared" si="7"/>
        <v>38351</v>
      </c>
      <c r="C100" s="1151">
        <v>0.17500000000000002</v>
      </c>
      <c r="D100" s="1125" t="s">
        <v>157</v>
      </c>
      <c r="E100" s="1126"/>
      <c r="F100" s="1151">
        <f t="shared" si="8"/>
        <v>0.17500000000000002</v>
      </c>
      <c r="G100" s="1151">
        <f t="shared" si="11"/>
        <v>3.666666666666667</v>
      </c>
      <c r="H100" s="1152">
        <f t="shared" si="9"/>
        <v>0</v>
      </c>
      <c r="I100" s="1151">
        <f t="shared" si="10"/>
        <v>0</v>
      </c>
      <c r="J100" s="1151">
        <f t="shared" si="12"/>
        <v>0</v>
      </c>
    </row>
    <row r="101" spans="1:10" outlineLevel="1" x14ac:dyDescent="0.2">
      <c r="A101" s="1149"/>
      <c r="B101" s="1150" t="str">
        <f t="shared" si="7"/>
        <v/>
      </c>
      <c r="C101" s="1151"/>
      <c r="D101" s="1125"/>
      <c r="E101" s="1126"/>
      <c r="F101" s="1151">
        <f t="shared" si="8"/>
        <v>0</v>
      </c>
      <c r="G101" s="1151">
        <f t="shared" si="11"/>
        <v>3.666666666666667</v>
      </c>
      <c r="H101" s="1152">
        <f t="shared" si="9"/>
        <v>0</v>
      </c>
      <c r="I101" s="1151">
        <f t="shared" si="10"/>
        <v>0</v>
      </c>
      <c r="J101" s="1151">
        <f t="shared" si="12"/>
        <v>0</v>
      </c>
    </row>
    <row r="102" spans="1:10" outlineLevel="1" x14ac:dyDescent="0.2"/>
    <row r="103" spans="1:10" outlineLevel="1" x14ac:dyDescent="0.2"/>
    <row r="104" spans="1:10" outlineLevel="1" x14ac:dyDescent="0.2">
      <c r="A104" s="475" t="s">
        <v>561</v>
      </c>
    </row>
    <row r="105" spans="1:10" outlineLevel="1" x14ac:dyDescent="0.2">
      <c r="A105" s="475"/>
    </row>
    <row r="106" spans="1:10" outlineLevel="1" x14ac:dyDescent="0.2"/>
    <row r="107" spans="1:10" outlineLevel="1" x14ac:dyDescent="0.2">
      <c r="A107" s="476" t="s">
        <v>562</v>
      </c>
      <c r="B107" s="421"/>
      <c r="C107" s="421"/>
      <c r="D107" s="421"/>
      <c r="E107" s="421"/>
      <c r="F107" s="421"/>
      <c r="G107" s="421"/>
      <c r="H107" s="477"/>
    </row>
    <row r="108" spans="1:10" outlineLevel="1" x14ac:dyDescent="0.2">
      <c r="A108" s="478">
        <v>0</v>
      </c>
      <c r="H108" s="479"/>
    </row>
    <row r="109" spans="1:10" outlineLevel="1" x14ac:dyDescent="0.2">
      <c r="A109" s="480">
        <v>0.17499999999999999</v>
      </c>
      <c r="H109" s="479"/>
    </row>
    <row r="110" spans="1:10" outlineLevel="1" x14ac:dyDescent="0.2">
      <c r="A110" s="480">
        <f t="shared" ref="A110:A141" si="13">A109+"4:12"</f>
        <v>0.35</v>
      </c>
      <c r="H110" s="479"/>
    </row>
    <row r="111" spans="1:10" outlineLevel="1" x14ac:dyDescent="0.2">
      <c r="A111" s="480">
        <f t="shared" si="13"/>
        <v>0.52499999999999991</v>
      </c>
      <c r="H111" s="479"/>
    </row>
    <row r="112" spans="1:10" outlineLevel="1" x14ac:dyDescent="0.2">
      <c r="A112" s="480">
        <f t="shared" si="13"/>
        <v>0.7</v>
      </c>
      <c r="H112" s="479"/>
    </row>
    <row r="113" spans="1:8" outlineLevel="1" x14ac:dyDescent="0.2">
      <c r="A113" s="480">
        <f t="shared" si="13"/>
        <v>0.875</v>
      </c>
      <c r="H113" s="479"/>
    </row>
    <row r="114" spans="1:8" outlineLevel="1" x14ac:dyDescent="0.2">
      <c r="A114" s="480">
        <f t="shared" si="13"/>
        <v>1.05</v>
      </c>
      <c r="H114" s="479"/>
    </row>
    <row r="115" spans="1:8" outlineLevel="1" x14ac:dyDescent="0.2">
      <c r="A115" s="480">
        <f t="shared" si="13"/>
        <v>1.2250000000000001</v>
      </c>
      <c r="H115" s="479"/>
    </row>
    <row r="116" spans="1:8" outlineLevel="1" x14ac:dyDescent="0.2">
      <c r="A116" s="480">
        <f t="shared" si="13"/>
        <v>1.4000000000000001</v>
      </c>
      <c r="H116" s="479"/>
    </row>
    <row r="117" spans="1:8" outlineLevel="1" x14ac:dyDescent="0.2">
      <c r="A117" s="480">
        <f t="shared" si="13"/>
        <v>1.5750000000000002</v>
      </c>
      <c r="H117" s="479"/>
    </row>
    <row r="118" spans="1:8" outlineLevel="1" x14ac:dyDescent="0.2">
      <c r="A118" s="480">
        <f t="shared" si="13"/>
        <v>1.7500000000000002</v>
      </c>
      <c r="H118" s="479"/>
    </row>
    <row r="119" spans="1:8" outlineLevel="1" x14ac:dyDescent="0.2">
      <c r="A119" s="480">
        <f t="shared" si="13"/>
        <v>1.9250000000000003</v>
      </c>
      <c r="H119" s="479"/>
    </row>
    <row r="120" spans="1:8" outlineLevel="1" x14ac:dyDescent="0.2">
      <c r="A120" s="480">
        <f t="shared" si="13"/>
        <v>2.1</v>
      </c>
      <c r="H120" s="479"/>
    </row>
    <row r="121" spans="1:8" outlineLevel="1" x14ac:dyDescent="0.2">
      <c r="A121" s="480">
        <f t="shared" si="13"/>
        <v>2.2749999999999999</v>
      </c>
      <c r="H121" s="479"/>
    </row>
    <row r="122" spans="1:8" outlineLevel="1" x14ac:dyDescent="0.2">
      <c r="A122" s="480">
        <f t="shared" si="13"/>
        <v>2.4499999999999997</v>
      </c>
      <c r="H122" s="479"/>
    </row>
    <row r="123" spans="1:8" outlineLevel="1" x14ac:dyDescent="0.2">
      <c r="A123" s="480">
        <f t="shared" si="13"/>
        <v>2.6249999999999996</v>
      </c>
      <c r="H123" s="479"/>
    </row>
    <row r="124" spans="1:8" outlineLevel="1" x14ac:dyDescent="0.2">
      <c r="A124" s="480">
        <f t="shared" si="13"/>
        <v>2.7999999999999994</v>
      </c>
      <c r="H124" s="479"/>
    </row>
    <row r="125" spans="1:8" outlineLevel="1" x14ac:dyDescent="0.2">
      <c r="A125" s="480">
        <f t="shared" si="13"/>
        <v>2.9749999999999992</v>
      </c>
      <c r="H125" s="479"/>
    </row>
    <row r="126" spans="1:8" outlineLevel="1" x14ac:dyDescent="0.2">
      <c r="A126" s="480">
        <f t="shared" si="13"/>
        <v>3.149999999999999</v>
      </c>
      <c r="H126" s="479"/>
    </row>
    <row r="127" spans="1:8" outlineLevel="1" x14ac:dyDescent="0.2">
      <c r="A127" s="480">
        <f t="shared" si="13"/>
        <v>3.3249999999999988</v>
      </c>
      <c r="H127" s="479"/>
    </row>
    <row r="128" spans="1:8" outlineLevel="1" x14ac:dyDescent="0.2">
      <c r="A128" s="480">
        <f t="shared" si="13"/>
        <v>3.4999999999999987</v>
      </c>
      <c r="H128" s="479"/>
    </row>
    <row r="129" spans="1:19" outlineLevel="1" x14ac:dyDescent="0.2">
      <c r="A129" s="480">
        <f t="shared" si="13"/>
        <v>3.6749999999999985</v>
      </c>
      <c r="H129" s="479"/>
    </row>
    <row r="130" spans="1:19" outlineLevel="1" x14ac:dyDescent="0.2">
      <c r="A130" s="480">
        <f t="shared" si="13"/>
        <v>3.8499999999999983</v>
      </c>
      <c r="H130" s="479"/>
    </row>
    <row r="131" spans="1:19" outlineLevel="1" x14ac:dyDescent="0.2">
      <c r="A131" s="480">
        <f t="shared" si="13"/>
        <v>4.0249999999999986</v>
      </c>
      <c r="H131" s="479"/>
    </row>
    <row r="132" spans="1:19" outlineLevel="1" x14ac:dyDescent="0.2">
      <c r="A132" s="480">
        <f t="shared" si="13"/>
        <v>4.1999999999999984</v>
      </c>
      <c r="H132" s="479"/>
    </row>
    <row r="133" spans="1:19" outlineLevel="1" x14ac:dyDescent="0.2">
      <c r="A133" s="480">
        <f t="shared" si="13"/>
        <v>4.3749999999999982</v>
      </c>
      <c r="H133" s="479"/>
    </row>
    <row r="134" spans="1:19" outlineLevel="1" x14ac:dyDescent="0.2">
      <c r="A134" s="480">
        <f t="shared" si="13"/>
        <v>4.549999999999998</v>
      </c>
      <c r="H134" s="479"/>
    </row>
    <row r="135" spans="1:19" outlineLevel="1" x14ac:dyDescent="0.2">
      <c r="A135" s="480">
        <f t="shared" si="13"/>
        <v>4.7249999999999979</v>
      </c>
      <c r="H135" s="479"/>
    </row>
    <row r="136" spans="1:19" s="424" customFormat="1" outlineLevel="1" x14ac:dyDescent="0.2">
      <c r="A136" s="480">
        <f t="shared" si="13"/>
        <v>4.8999999999999977</v>
      </c>
      <c r="B136"/>
      <c r="C136"/>
      <c r="D136"/>
      <c r="E136"/>
      <c r="F136"/>
      <c r="G136"/>
      <c r="H136" s="479"/>
      <c r="I136"/>
      <c r="J136"/>
      <c r="K136"/>
      <c r="L136"/>
      <c r="M136"/>
      <c r="N136"/>
      <c r="O136"/>
      <c r="P136"/>
      <c r="Q136"/>
      <c r="R136"/>
      <c r="S136"/>
    </row>
    <row r="137" spans="1:19" outlineLevel="1" x14ac:dyDescent="0.2">
      <c r="A137" s="480">
        <f t="shared" si="13"/>
        <v>5.0749999999999975</v>
      </c>
      <c r="H137" s="479"/>
    </row>
    <row r="138" spans="1:19" outlineLevel="1" x14ac:dyDescent="0.2">
      <c r="A138" s="480">
        <f t="shared" si="13"/>
        <v>5.2499999999999973</v>
      </c>
      <c r="H138" s="479"/>
    </row>
    <row r="139" spans="1:19" outlineLevel="1" x14ac:dyDescent="0.2">
      <c r="A139" s="480">
        <f t="shared" si="13"/>
        <v>5.4249999999999972</v>
      </c>
      <c r="H139" s="479"/>
    </row>
    <row r="140" spans="1:19" outlineLevel="1" x14ac:dyDescent="0.2">
      <c r="A140" s="480">
        <f t="shared" si="13"/>
        <v>5.599999999999997</v>
      </c>
      <c r="H140" s="479"/>
    </row>
    <row r="141" spans="1:19" outlineLevel="1" x14ac:dyDescent="0.2">
      <c r="A141" s="480">
        <f t="shared" si="13"/>
        <v>5.7749999999999968</v>
      </c>
      <c r="H141" s="479"/>
    </row>
    <row r="142" spans="1:19" outlineLevel="1" x14ac:dyDescent="0.2">
      <c r="A142" s="480">
        <f t="shared" ref="A142:A162" si="14">A141+"4:12"</f>
        <v>5.9499999999999966</v>
      </c>
      <c r="H142" s="479"/>
    </row>
    <row r="143" spans="1:19" outlineLevel="1" x14ac:dyDescent="0.2">
      <c r="A143" s="480">
        <f t="shared" si="14"/>
        <v>6.1249999999999964</v>
      </c>
      <c r="H143" s="479"/>
    </row>
    <row r="144" spans="1:19" outlineLevel="1" x14ac:dyDescent="0.2">
      <c r="A144" s="480">
        <f t="shared" si="14"/>
        <v>6.2999999999999963</v>
      </c>
      <c r="H144" s="479"/>
    </row>
    <row r="145" spans="1:8" outlineLevel="1" x14ac:dyDescent="0.2">
      <c r="A145" s="480">
        <f t="shared" si="14"/>
        <v>6.4749999999999961</v>
      </c>
      <c r="H145" s="479"/>
    </row>
    <row r="146" spans="1:8" outlineLevel="1" x14ac:dyDescent="0.2">
      <c r="A146" s="480">
        <f t="shared" si="14"/>
        <v>6.6499999999999959</v>
      </c>
      <c r="H146" s="479"/>
    </row>
    <row r="147" spans="1:8" outlineLevel="1" x14ac:dyDescent="0.2">
      <c r="A147" s="480">
        <f t="shared" si="14"/>
        <v>6.8249999999999957</v>
      </c>
      <c r="H147" s="479"/>
    </row>
    <row r="148" spans="1:8" outlineLevel="1" x14ac:dyDescent="0.2">
      <c r="A148" s="480">
        <f t="shared" si="14"/>
        <v>6.9999999999999956</v>
      </c>
      <c r="H148" s="479"/>
    </row>
    <row r="149" spans="1:8" outlineLevel="1" x14ac:dyDescent="0.2">
      <c r="A149" s="480">
        <f t="shared" si="14"/>
        <v>7.1749999999999954</v>
      </c>
      <c r="H149" s="479"/>
    </row>
    <row r="150" spans="1:8" outlineLevel="1" x14ac:dyDescent="0.2">
      <c r="A150" s="480">
        <f t="shared" si="14"/>
        <v>7.3499999999999952</v>
      </c>
      <c r="H150" s="479"/>
    </row>
    <row r="151" spans="1:8" outlineLevel="1" x14ac:dyDescent="0.2">
      <c r="A151" s="480">
        <f t="shared" si="14"/>
        <v>7.524999999999995</v>
      </c>
      <c r="H151" s="479"/>
    </row>
    <row r="152" spans="1:8" outlineLevel="1" x14ac:dyDescent="0.2">
      <c r="A152" s="480">
        <f t="shared" si="14"/>
        <v>7.6999999999999948</v>
      </c>
      <c r="H152" s="479"/>
    </row>
    <row r="153" spans="1:8" outlineLevel="1" x14ac:dyDescent="0.2">
      <c r="A153" s="480">
        <f t="shared" si="14"/>
        <v>7.8749999999999947</v>
      </c>
      <c r="H153" s="479"/>
    </row>
    <row r="154" spans="1:8" outlineLevel="1" x14ac:dyDescent="0.2">
      <c r="A154" s="480">
        <f t="shared" si="14"/>
        <v>8.0499999999999954</v>
      </c>
      <c r="H154" s="479"/>
    </row>
    <row r="155" spans="1:8" outlineLevel="1" x14ac:dyDescent="0.2">
      <c r="A155" s="480">
        <f t="shared" si="14"/>
        <v>8.2249999999999961</v>
      </c>
      <c r="H155" s="479"/>
    </row>
    <row r="156" spans="1:8" outlineLevel="1" x14ac:dyDescent="0.2">
      <c r="A156" s="480">
        <f t="shared" si="14"/>
        <v>8.3999999999999968</v>
      </c>
      <c r="H156" s="479"/>
    </row>
    <row r="157" spans="1:8" outlineLevel="1" x14ac:dyDescent="0.2">
      <c r="A157" s="480">
        <f t="shared" si="14"/>
        <v>8.5749999999999975</v>
      </c>
      <c r="H157" s="479"/>
    </row>
    <row r="158" spans="1:8" outlineLevel="1" x14ac:dyDescent="0.2">
      <c r="A158" s="480">
        <f t="shared" si="14"/>
        <v>8.7499999999999982</v>
      </c>
      <c r="H158" s="479"/>
    </row>
    <row r="159" spans="1:8" outlineLevel="1" x14ac:dyDescent="0.2">
      <c r="A159" s="480">
        <f t="shared" si="14"/>
        <v>8.9249999999999989</v>
      </c>
      <c r="H159" s="479"/>
    </row>
    <row r="160" spans="1:8" outlineLevel="1" x14ac:dyDescent="0.2">
      <c r="A160" s="480">
        <f t="shared" si="14"/>
        <v>9.1</v>
      </c>
      <c r="H160" s="479"/>
    </row>
    <row r="161" spans="1:17" outlineLevel="1" x14ac:dyDescent="0.2">
      <c r="A161" s="480">
        <f t="shared" si="14"/>
        <v>9.2750000000000004</v>
      </c>
      <c r="H161" s="479"/>
    </row>
    <row r="162" spans="1:17" outlineLevel="1" x14ac:dyDescent="0.2">
      <c r="A162" s="480">
        <f t="shared" si="14"/>
        <v>9.4500000000000011</v>
      </c>
      <c r="H162" s="479"/>
    </row>
    <row r="163" spans="1:17" outlineLevel="1" x14ac:dyDescent="0.2">
      <c r="A163" s="480"/>
      <c r="H163" s="479"/>
    </row>
    <row r="164" spans="1:17" outlineLevel="1" x14ac:dyDescent="0.2">
      <c r="A164" s="480"/>
      <c r="H164" s="479"/>
    </row>
    <row r="165" spans="1:17" outlineLevel="1" x14ac:dyDescent="0.2">
      <c r="A165" s="480"/>
      <c r="H165" s="479"/>
    </row>
    <row r="166" spans="1:17" outlineLevel="1" x14ac:dyDescent="0.2">
      <c r="A166" s="480"/>
      <c r="H166" s="479"/>
    </row>
    <row r="167" spans="1:17" outlineLevel="1" x14ac:dyDescent="0.2">
      <c r="A167" s="480"/>
      <c r="H167" s="479"/>
    </row>
    <row r="168" spans="1:17" outlineLevel="1" x14ac:dyDescent="0.2">
      <c r="A168" s="480"/>
      <c r="H168" s="479"/>
    </row>
    <row r="169" spans="1:17" outlineLevel="1" x14ac:dyDescent="0.2">
      <c r="A169" s="481"/>
      <c r="B169" s="482"/>
      <c r="C169" s="482"/>
      <c r="D169" s="482"/>
      <c r="E169" s="482"/>
      <c r="F169" s="482"/>
      <c r="G169" s="482"/>
      <c r="H169" s="483"/>
    </row>
    <row r="170" spans="1:17" outlineLevel="1" x14ac:dyDescent="0.2">
      <c r="A170" s="484"/>
    </row>
    <row r="171" spans="1:17" outlineLevel="1" x14ac:dyDescent="0.2"/>
    <row r="172" spans="1:17" outlineLevel="1" x14ac:dyDescent="0.2">
      <c r="A172" s="485" t="s">
        <v>563</v>
      </c>
      <c r="B172" s="486"/>
      <c r="C172" s="486"/>
      <c r="D172" s="486"/>
      <c r="E172" s="486"/>
      <c r="F172" s="486"/>
      <c r="G172" s="486"/>
      <c r="H172" s="486"/>
      <c r="I172" s="486"/>
      <c r="J172" s="486"/>
      <c r="K172" s="486"/>
      <c r="L172" s="486"/>
      <c r="M172" s="486"/>
      <c r="N172" s="486"/>
      <c r="O172" s="486"/>
      <c r="P172" s="486"/>
      <c r="Q172" s="487"/>
    </row>
    <row r="173" spans="1:17" ht="11.25" customHeight="1" outlineLevel="1" x14ac:dyDescent="0.2">
      <c r="A173" s="488"/>
      <c r="B173" s="489"/>
      <c r="C173" s="489"/>
      <c r="D173" s="489"/>
      <c r="E173" s="489"/>
      <c r="F173" s="489"/>
      <c r="G173" s="489"/>
      <c r="H173" s="489"/>
      <c r="I173" s="489"/>
      <c r="J173" s="489"/>
      <c r="K173" s="489"/>
      <c r="L173" s="489"/>
      <c r="M173" s="489"/>
      <c r="N173" s="489"/>
      <c r="O173" s="489"/>
      <c r="P173" s="489"/>
      <c r="Q173" s="490"/>
    </row>
    <row r="174" spans="1:17" ht="11.25" customHeight="1" outlineLevel="1" x14ac:dyDescent="0.2">
      <c r="A174" s="491">
        <f>IF(ISERROR(FIND("-",D15)),VALUE(D15),-VALUE(MID(TRIM(D15),2,8)))</f>
        <v>91</v>
      </c>
      <c r="B174" s="489"/>
      <c r="C174" s="492" t="str">
        <f>IF(OR(ISERROR(A174),ISERROR(FIND(":",D15))),"Fehleingabe","OK")</f>
        <v>OK</v>
      </c>
      <c r="D174" s="489"/>
      <c r="E174" s="489" t="str">
        <f>A15</f>
        <v>Bruttoarbeitszeit volles Pensum</v>
      </c>
      <c r="F174" s="489"/>
      <c r="G174" s="489"/>
      <c r="H174" s="489" t="str">
        <f t="shared" ref="H174:H181" si="15">$C$21</f>
        <v xml:space="preserve"> Überträge vom Vorjahr</v>
      </c>
      <c r="I174" s="489"/>
      <c r="J174" s="489"/>
      <c r="K174" s="489" t="str">
        <f t="shared" ref="K174:K185" si="16">"Fehleingabe bei " &amp; E174 &amp; " /" &amp; H174</f>
        <v>Fehleingabe bei Bruttoarbeitszeit volles Pensum / Überträge vom Vorjahr</v>
      </c>
      <c r="L174" s="489"/>
      <c r="M174" s="489"/>
      <c r="N174" s="489"/>
      <c r="O174" s="489"/>
      <c r="P174" s="489"/>
      <c r="Q174" s="490"/>
    </row>
    <row r="175" spans="1:17" ht="12" customHeight="1" outlineLevel="1" x14ac:dyDescent="0.2">
      <c r="A175" s="491">
        <f>IF(ISERROR(FIND("-",ctPersonalangaben!F11)),VALUE(ctPersonalangaben!F11),-VALUE(MID(TRIM(ctPersonalangaben!F11),2,8)))</f>
        <v>6.9444444444444447E-4</v>
      </c>
      <c r="B175" s="489"/>
      <c r="C175" s="492" t="str">
        <f>IF(OR(ISERROR(A175),ISERROR(FIND(":",ctPersonalangaben!F11))),"Fehleingabe","OK")</f>
        <v>OK</v>
      </c>
      <c r="D175" s="489"/>
      <c r="E175" s="489" t="str">
        <f t="shared" ref="E175:E181" si="17">A22</f>
        <v>Arbeitszeit(AZ)-Saldo</v>
      </c>
      <c r="F175" s="489"/>
      <c r="G175" s="489"/>
      <c r="H175" s="489" t="str">
        <f t="shared" si="15"/>
        <v xml:space="preserve"> Überträge vom Vorjahr</v>
      </c>
      <c r="I175" s="489"/>
      <c r="J175" s="489"/>
      <c r="K175" s="489" t="str">
        <f t="shared" si="16"/>
        <v>Fehleingabe bei Arbeitszeit(AZ)-Saldo / Überträge vom Vorjahr</v>
      </c>
      <c r="L175" s="489"/>
      <c r="M175" s="489"/>
      <c r="N175" s="489"/>
      <c r="O175" s="489"/>
      <c r="P175" s="489"/>
      <c r="Q175" s="490"/>
    </row>
    <row r="176" spans="1:17" ht="12.75" customHeight="1" outlineLevel="1" x14ac:dyDescent="0.2">
      <c r="A176" s="491">
        <f>IF(ISERROR(FIND("-",D23)),VALUE(D23),-VALUE(MID(TRIM(D23),2,8)))</f>
        <v>0</v>
      </c>
      <c r="B176" s="489"/>
      <c r="C176" s="492" t="str">
        <f>IF(OR(ISERROR(A176),ISERROR(FIND(":",D23))),"Fehleingabe","OK")</f>
        <v>OK</v>
      </c>
      <c r="D176" s="489"/>
      <c r="E176" s="489" t="str">
        <f t="shared" si="17"/>
        <v xml:space="preserve">Überzeit-Saldo </v>
      </c>
      <c r="F176" s="489"/>
      <c r="G176" s="489"/>
      <c r="H176" s="489" t="str">
        <f t="shared" si="15"/>
        <v xml:space="preserve"> Überträge vom Vorjahr</v>
      </c>
      <c r="I176" s="489"/>
      <c r="J176" s="489"/>
      <c r="K176" s="489" t="str">
        <f t="shared" si="16"/>
        <v>Fehleingabe bei Überzeit-Saldo  / Überträge vom Vorjahr</v>
      </c>
      <c r="L176" s="489"/>
      <c r="M176" s="489"/>
      <c r="N176" s="489"/>
      <c r="O176" s="489"/>
      <c r="P176" s="489"/>
      <c r="Q176" s="490"/>
    </row>
    <row r="177" spans="1:17" ht="11.25" customHeight="1" outlineLevel="1" x14ac:dyDescent="0.2">
      <c r="A177" s="491">
        <f>IF(ISERROR(FIND("-",ctPersonalangaben!F12)),VALUE(ctPersonalangaben!F12),-VALUE(MID(TRIM(ctPersonalangaben!F12),2,8)))</f>
        <v>0</v>
      </c>
      <c r="B177" s="489"/>
      <c r="C177" s="492" t="str">
        <f>IF(OR(ISERROR(A177),ISERROR(FIND(":",ctPersonalangaben!F12))),"Fehleingabe","OK")</f>
        <v>OK</v>
      </c>
      <c r="D177" s="489"/>
      <c r="E177" s="489" t="str">
        <f t="shared" si="17"/>
        <v>Ferien</v>
      </c>
      <c r="F177" s="489"/>
      <c r="G177" s="489"/>
      <c r="H177" s="489" t="str">
        <f t="shared" si="15"/>
        <v xml:space="preserve"> Überträge vom Vorjahr</v>
      </c>
      <c r="I177" s="489"/>
      <c r="J177" s="489"/>
      <c r="K177" s="489" t="str">
        <f t="shared" si="16"/>
        <v>Fehleingabe bei Ferien / Überträge vom Vorjahr</v>
      </c>
      <c r="L177" s="489"/>
      <c r="M177" s="489"/>
      <c r="N177" s="489"/>
      <c r="O177" s="489"/>
      <c r="P177" s="489"/>
      <c r="Q177" s="490"/>
    </row>
    <row r="178" spans="1:17" ht="13.5" customHeight="1" outlineLevel="1" x14ac:dyDescent="0.2">
      <c r="A178" s="491">
        <f>IF(ISERROR(FIND("-",D25)),VALUE(D25),-VALUE(MID(TRIM(D25),2,8)))</f>
        <v>0</v>
      </c>
      <c r="B178" s="489"/>
      <c r="C178" s="492" t="str">
        <f>IF(OR(ISERROR(A178),ISERROR(FIND(":",D25))),"Fehleingabe","OK")</f>
        <v>OK</v>
      </c>
      <c r="D178" s="489"/>
      <c r="E178" s="489" t="str">
        <f t="shared" si="17"/>
        <v>Feiertagsanspruch an arb.freien Tg.</v>
      </c>
      <c r="F178" s="489"/>
      <c r="G178" s="489"/>
      <c r="H178" s="489" t="str">
        <f t="shared" si="15"/>
        <v xml:space="preserve"> Überträge vom Vorjahr</v>
      </c>
      <c r="I178" s="489"/>
      <c r="J178" s="489"/>
      <c r="K178" s="489" t="str">
        <f t="shared" si="16"/>
        <v>Fehleingabe bei Feiertagsanspruch an arb.freien Tg. / Überträge vom Vorjahr</v>
      </c>
      <c r="L178" s="489"/>
      <c r="M178" s="489"/>
      <c r="N178" s="489"/>
      <c r="O178" s="489"/>
      <c r="P178" s="489"/>
      <c r="Q178" s="490"/>
    </row>
    <row r="179" spans="1:17" ht="12.75" customHeight="1" outlineLevel="1" x14ac:dyDescent="0.2">
      <c r="A179" s="491">
        <f>IF(ISERROR(FIND("-",D26)),VALUE(D26),-VALUE(MID(TRIM(D26),2,8)))</f>
        <v>0</v>
      </c>
      <c r="B179" s="489"/>
      <c r="C179" s="492" t="str">
        <f>IF(OR(ISERROR(A179),ISERROR(FIND(":",D26))),"Fehleingabe","OK")</f>
        <v>OK</v>
      </c>
      <c r="D179" s="489"/>
      <c r="E179" s="489" t="str">
        <f t="shared" si="17"/>
        <v>Dienstaltersgeschenk (DAG)</v>
      </c>
      <c r="F179" s="489"/>
      <c r="G179" s="489"/>
      <c r="H179" s="489" t="str">
        <f t="shared" si="15"/>
        <v xml:space="preserve"> Überträge vom Vorjahr</v>
      </c>
      <c r="I179" s="489"/>
      <c r="J179" s="489"/>
      <c r="K179" s="489" t="str">
        <f t="shared" si="16"/>
        <v>Fehleingabe bei Dienstaltersgeschenk (DAG) / Überträge vom Vorjahr</v>
      </c>
      <c r="L179" s="489"/>
      <c r="M179" s="489"/>
      <c r="N179" s="489"/>
      <c r="O179" s="489"/>
      <c r="P179" s="489"/>
      <c r="Q179" s="490"/>
    </row>
    <row r="180" spans="1:17" ht="12" customHeight="1" outlineLevel="1" x14ac:dyDescent="0.2">
      <c r="A180" s="491">
        <f>IF(ISERROR(FIND("-",D27)),VALUE(D27),-VALUE(MID(TRIM(D27),2,8)))</f>
        <v>0</v>
      </c>
      <c r="B180" s="489"/>
      <c r="C180" s="492" t="str">
        <f>IF(OR(ISERROR(A180),ISERROR(FIND(":",D27))),"Fehleingabe","OK")</f>
        <v>OK</v>
      </c>
      <c r="D180" s="489"/>
      <c r="E180" s="489" t="str">
        <f t="shared" si="17"/>
        <v>Unbesoldeter Urlaub</v>
      </c>
      <c r="F180" s="489"/>
      <c r="G180" s="489"/>
      <c r="H180" s="489" t="str">
        <f t="shared" si="15"/>
        <v xml:space="preserve"> Überträge vom Vorjahr</v>
      </c>
      <c r="I180" s="489"/>
      <c r="J180" s="489"/>
      <c r="K180" s="489" t="str">
        <f t="shared" si="16"/>
        <v>Fehleingabe bei Unbesoldeter Urlaub / Überträge vom Vorjahr</v>
      </c>
      <c r="L180" s="489"/>
      <c r="M180" s="489"/>
      <c r="N180" s="489"/>
      <c r="O180" s="489"/>
      <c r="P180" s="489"/>
      <c r="Q180" s="490"/>
    </row>
    <row r="181" spans="1:17" ht="12" customHeight="1" outlineLevel="1" x14ac:dyDescent="0.2">
      <c r="A181" s="491">
        <f>IF(ISERROR(FIND("-",D28)),VALUE(D28),-VALUE(MID(TRIM(D28),2,8)))</f>
        <v>0</v>
      </c>
      <c r="B181" s="489"/>
      <c r="C181" s="492" t="str">
        <f>IF(OR(ISERROR(A181),ISERROR(FIND(":",D28))),"Fehleingabe","OK")</f>
        <v>OK</v>
      </c>
      <c r="D181" s="489"/>
      <c r="E181" s="489" t="str">
        <f t="shared" si="17"/>
        <v>Besoldeter Urlaub</v>
      </c>
      <c r="F181" s="489"/>
      <c r="G181" s="489"/>
      <c r="H181" s="489" t="str">
        <f t="shared" si="15"/>
        <v xml:space="preserve"> Überträge vom Vorjahr</v>
      </c>
      <c r="I181" s="489"/>
      <c r="J181" s="489"/>
      <c r="K181" s="489" t="str">
        <f t="shared" si="16"/>
        <v>Fehleingabe bei Besoldeter Urlaub / Überträge vom Vorjahr</v>
      </c>
      <c r="L181" s="489"/>
      <c r="M181" s="489"/>
      <c r="N181" s="489"/>
      <c r="O181" s="489"/>
      <c r="P181" s="489"/>
      <c r="Q181" s="490"/>
    </row>
    <row r="182" spans="1:17" ht="14.25" customHeight="1" outlineLevel="1" x14ac:dyDescent="0.2">
      <c r="A182" s="491">
        <f>IF(ISERROR(FIND("-",E26)),VALUE(E26),-VALUE(MID(TRIM(E26),2,8)))</f>
        <v>0</v>
      </c>
      <c r="B182" s="489"/>
      <c r="C182" s="492" t="str">
        <f>IF(OR(ISERROR(A182),ISERROR(FIND(":",E26))),"Fehleingabe","OK")</f>
        <v>OK</v>
      </c>
      <c r="D182" s="489"/>
      <c r="E182" s="489" t="str">
        <f>A26</f>
        <v>Dienstaltersgeschenk (DAG)</v>
      </c>
      <c r="F182" s="489"/>
      <c r="G182" s="489"/>
      <c r="H182" s="489" t="str">
        <f>$E$22</f>
        <v xml:space="preserve"> Jahresanspruch</v>
      </c>
      <c r="I182" s="489"/>
      <c r="J182" s="489"/>
      <c r="K182" s="489" t="str">
        <f t="shared" si="16"/>
        <v>Fehleingabe bei Dienstaltersgeschenk (DAG) / Jahresanspruch</v>
      </c>
      <c r="L182" s="489"/>
      <c r="M182" s="489"/>
      <c r="N182" s="489"/>
      <c r="O182" s="489"/>
      <c r="P182" s="489"/>
      <c r="Q182" s="490"/>
    </row>
    <row r="183" spans="1:17" ht="12" customHeight="1" outlineLevel="1" x14ac:dyDescent="0.2">
      <c r="A183" s="491">
        <f>IF(ISERROR(FIND("-",E27)),VALUE(E27),-VALUE(MID(TRIM(E27),2,8)))</f>
        <v>0</v>
      </c>
      <c r="B183" s="489"/>
      <c r="C183" s="492" t="str">
        <f>IF(OR(ISERROR(A183),ISERROR(FIND(":",E27))),"Fehleingabe","OK")</f>
        <v>OK</v>
      </c>
      <c r="D183" s="489"/>
      <c r="E183" s="489" t="str">
        <f>A27</f>
        <v>Unbesoldeter Urlaub</v>
      </c>
      <c r="F183" s="489"/>
      <c r="G183" s="489"/>
      <c r="H183" s="489" t="str">
        <f>$E$22</f>
        <v xml:space="preserve"> Jahresanspruch</v>
      </c>
      <c r="I183" s="489"/>
      <c r="J183" s="489"/>
      <c r="K183" s="489" t="str">
        <f t="shared" si="16"/>
        <v>Fehleingabe bei Unbesoldeter Urlaub / Jahresanspruch</v>
      </c>
      <c r="L183" s="489"/>
      <c r="M183" s="489"/>
      <c r="N183" s="489"/>
      <c r="O183" s="489"/>
      <c r="P183" s="489"/>
      <c r="Q183" s="490"/>
    </row>
    <row r="184" spans="1:17" ht="12" customHeight="1" outlineLevel="1" x14ac:dyDescent="0.2">
      <c r="A184" s="491">
        <f>IF(ISERROR(FIND("-",E28)),VALUE(E28),-VALUE(MID(TRIM(E28),2,8)))</f>
        <v>0</v>
      </c>
      <c r="B184" s="489"/>
      <c r="C184" s="492" t="str">
        <f>IF(OR(ISERROR(A184),ISERROR(FIND(":",E28))),"Fehleingabe","OK")</f>
        <v>OK</v>
      </c>
      <c r="D184" s="489"/>
      <c r="E184" s="489" t="str">
        <f>A28</f>
        <v>Besoldeter Urlaub</v>
      </c>
      <c r="F184" s="489"/>
      <c r="G184" s="489"/>
      <c r="H184" s="489" t="str">
        <f>$E$22</f>
        <v xml:space="preserve"> Jahresanspruch</v>
      </c>
      <c r="I184" s="489"/>
      <c r="J184" s="489"/>
      <c r="K184" s="489" t="str">
        <f t="shared" si="16"/>
        <v>Fehleingabe bei Besoldeter Urlaub / Jahresanspruch</v>
      </c>
      <c r="L184" s="489"/>
      <c r="M184" s="489"/>
      <c r="N184" s="489"/>
      <c r="O184" s="489"/>
      <c r="P184" s="489"/>
      <c r="Q184" s="490"/>
    </row>
    <row r="185" spans="1:17" ht="13.5" customHeight="1" outlineLevel="1" x14ac:dyDescent="0.2">
      <c r="A185" s="491">
        <f>IF(ISERROR(FIND("-",E30)),VALUE(E30),-VALUE(MID(TRIM(E30),2,8)))</f>
        <v>0</v>
      </c>
      <c r="B185" s="489"/>
      <c r="C185" s="492" t="str">
        <f>IF(OR(ISERROR(A185),ISERROR(FIND(":",E30))),"Fehleingabe","OK")</f>
        <v>OK</v>
      </c>
      <c r="D185" s="489"/>
      <c r="E185" s="489" t="str">
        <f>A30</f>
        <v>Nebenbeschäftigung</v>
      </c>
      <c r="F185" s="489"/>
      <c r="G185" s="489"/>
      <c r="H185" s="489" t="str">
        <f>$E$22</f>
        <v xml:space="preserve"> Jahresanspruch</v>
      </c>
      <c r="I185" s="489"/>
      <c r="J185" s="489"/>
      <c r="K185" s="489" t="str">
        <f t="shared" si="16"/>
        <v>Fehleingabe bei Nebenbeschäftigung / Jahresanspruch</v>
      </c>
      <c r="L185" s="489"/>
      <c r="M185" s="489"/>
      <c r="N185" s="489"/>
      <c r="O185" s="489"/>
      <c r="P185" s="489"/>
      <c r="Q185" s="490"/>
    </row>
    <row r="186" spans="1:17" ht="12.75" customHeight="1" outlineLevel="1" x14ac:dyDescent="0.2">
      <c r="A186" s="491"/>
      <c r="B186" s="489"/>
      <c r="C186" s="489"/>
      <c r="D186" s="489"/>
      <c r="E186" s="489"/>
      <c r="F186" s="489"/>
      <c r="G186" s="489"/>
      <c r="H186" s="489"/>
      <c r="I186" s="489"/>
      <c r="J186" s="489"/>
      <c r="K186" s="489"/>
      <c r="L186" s="489"/>
      <c r="M186" s="489"/>
      <c r="N186" s="489"/>
      <c r="O186" s="489"/>
      <c r="P186" s="489"/>
      <c r="Q186" s="490"/>
    </row>
    <row r="187" spans="1:17" ht="11.25" customHeight="1" outlineLevel="1" x14ac:dyDescent="0.2">
      <c r="A187" s="1153" t="str">
        <f>IF(ISERROR(VLOOKUP("Fehleingabe",C174:C185,1,FALSE)),K187,VLOOKUP("Fehleingabe",C173:K184,9,FALSE) &amp; "  &gt;&gt;&gt;  " &amp; K187)</f>
        <v>Beispiel für korrekte Eingaben:
7:00 oder 38:10 oder 0:00 oder -2:07</v>
      </c>
      <c r="B187" s="493" t="s">
        <v>564</v>
      </c>
      <c r="C187" s="493"/>
      <c r="D187" s="489"/>
      <c r="E187" s="489"/>
      <c r="F187" s="489"/>
      <c r="G187" s="489"/>
      <c r="H187" s="489"/>
      <c r="I187" s="489"/>
      <c r="J187" s="489"/>
      <c r="K187" s="494" t="s">
        <v>565</v>
      </c>
      <c r="L187" s="489"/>
      <c r="M187" s="489"/>
      <c r="N187" s="489"/>
      <c r="O187" s="489"/>
      <c r="P187" s="489"/>
      <c r="Q187" s="490"/>
    </row>
    <row r="188" spans="1:17" outlineLevel="1" x14ac:dyDescent="0.2">
      <c r="A188" s="495"/>
      <c r="B188" s="496"/>
      <c r="C188" s="496"/>
      <c r="D188" s="496"/>
      <c r="E188" s="496"/>
      <c r="F188" s="496"/>
      <c r="G188" s="496"/>
      <c r="H188" s="496"/>
      <c r="I188" s="496"/>
      <c r="J188" s="496"/>
      <c r="K188" s="496"/>
      <c r="L188" s="496"/>
      <c r="M188" s="496"/>
      <c r="N188" s="496"/>
      <c r="O188" s="496"/>
      <c r="P188" s="496"/>
      <c r="Q188" s="497"/>
    </row>
    <row r="189" spans="1:17" outlineLevel="1" x14ac:dyDescent="0.2"/>
    <row r="190" spans="1:17" outlineLevel="1" x14ac:dyDescent="0.2"/>
    <row r="191" spans="1:17" outlineLevel="1" x14ac:dyDescent="0.2"/>
    <row r="192" spans="1:17" outlineLevel="1" x14ac:dyDescent="0.2"/>
    <row r="193" outlineLevel="1" x14ac:dyDescent="0.2"/>
    <row r="194" outlineLevel="1" x14ac:dyDescent="0.2"/>
    <row r="195" outlineLevel="1" x14ac:dyDescent="0.2"/>
    <row r="196" outlineLevel="1" x14ac:dyDescent="0.2"/>
    <row r="197" outlineLevel="1" x14ac:dyDescent="0.2"/>
    <row r="198" outlineLevel="1" x14ac:dyDescent="0.2"/>
    <row r="199" outlineLevel="1" x14ac:dyDescent="0.2"/>
  </sheetData>
  <sheetProtection algorithmName="SHA-512" hashValue="SHEM94CVIga0Ye0dDXd/QePH51SO4Z9jPnCAG+8/pAQQai6At+Yi3R9JBLWXBd7oVhHwL7rJ1D4C9/xzDKQkNw==" saltValue="05lyPtOyaaeIHUo+5X9j+Q==" spinCount="100000" sheet="1" selectLockedCells="1"/>
  <phoneticPr fontId="9" type="noConversion"/>
  <printOptions horizontalCentered="1"/>
  <pageMargins left="0.39370078740157483" right="0.19685039370078741" top="0.78740157480314965" bottom="0.39370078740157483" header="0.31496062992125984" footer="0.31496062992125984"/>
  <pageSetup paperSize="9" scale="97" fitToHeight="10" orientation="portrait" horizontalDpi="4294967292" verticalDpi="4294967292"/>
  <headerFooter>
    <oddHeader>&amp;C&amp;A&amp;RSeite &amp;P</oddHeader>
    <oddFooter>&amp;C&amp;D</oddFooter>
  </headerFooter>
  <rowBreaks count="1" manualBreakCount="1">
    <brk id="58" max="65535" man="1"/>
  </rowBreaks>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I43"/>
  <sheetViews>
    <sheetView showGridLines="0" showRowColHeaders="0" showOutlineSymbols="0" workbookViewId="0">
      <pane ySplit="21" topLeftCell="A32" activePane="bottomLeft" state="frozen"/>
      <selection pane="bottomLeft"/>
    </sheetView>
  </sheetViews>
  <sheetFormatPr baseColWidth="10" defaultColWidth="11.42578125" defaultRowHeight="12.75" x14ac:dyDescent="0.2"/>
  <cols>
    <col min="1" max="1" width="0.85546875" style="62" customWidth="1"/>
    <col min="2" max="2" width="4.7109375" style="8" customWidth="1"/>
    <col min="3" max="3" width="22.28515625" style="8" customWidth="1"/>
    <col min="4" max="4" width="52.42578125" style="8" customWidth="1"/>
    <col min="5" max="5" width="3.85546875" style="8" customWidth="1"/>
    <col min="6" max="6" width="47.28515625" style="8" customWidth="1"/>
    <col min="7" max="7" width="14.42578125" style="8" customWidth="1"/>
    <col min="8" max="8" width="11.42578125" style="8"/>
    <col min="9" max="9" width="11.42578125" style="63"/>
    <col min="10" max="16384" width="11.42578125" style="8"/>
  </cols>
  <sheetData>
    <row r="1" spans="1:9" s="33" customFormat="1" ht="20.25" x14ac:dyDescent="0.3">
      <c r="A1" s="86"/>
      <c r="B1" s="713"/>
      <c r="C1" s="32" t="s">
        <v>14</v>
      </c>
      <c r="I1" s="714"/>
    </row>
    <row r="2" spans="1:9" x14ac:dyDescent="0.2">
      <c r="B2" s="88"/>
      <c r="C2" s="88" t="s">
        <v>15</v>
      </c>
      <c r="D2" s="88"/>
      <c r="E2" s="88"/>
      <c r="F2" s="88"/>
      <c r="G2" s="715"/>
      <c r="H2" s="88"/>
      <c r="I2" s="716"/>
    </row>
    <row r="3" spans="1:9" x14ac:dyDescent="0.2">
      <c r="B3" s="88"/>
      <c r="C3" s="88"/>
      <c r="D3" s="88"/>
      <c r="E3" s="88"/>
      <c r="F3" s="88"/>
      <c r="G3" s="715"/>
      <c r="H3" s="88"/>
      <c r="I3" s="716"/>
    </row>
    <row r="4" spans="1:9" ht="12.75" customHeight="1" x14ac:dyDescent="0.2">
      <c r="B4" s="717">
        <v>1</v>
      </c>
      <c r="D4" s="54"/>
      <c r="E4" s="88"/>
      <c r="F4" s="1154" t="s">
        <v>16</v>
      </c>
      <c r="G4" s="715"/>
      <c r="H4" s="88"/>
      <c r="I4" s="716"/>
    </row>
    <row r="5" spans="1:9" x14ac:dyDescent="0.2">
      <c r="B5" s="717">
        <v>2</v>
      </c>
      <c r="D5" s="54"/>
      <c r="E5" s="88"/>
      <c r="F5" s="1155"/>
      <c r="G5" s="715"/>
      <c r="H5" s="88"/>
      <c r="I5" s="716"/>
    </row>
    <row r="6" spans="1:9" x14ac:dyDescent="0.2">
      <c r="B6" s="717">
        <v>3</v>
      </c>
      <c r="D6" s="54"/>
      <c r="E6" s="88"/>
      <c r="F6" s="1155"/>
      <c r="G6" s="715"/>
      <c r="H6" s="88"/>
      <c r="I6" s="716"/>
    </row>
    <row r="7" spans="1:9" x14ac:dyDescent="0.2">
      <c r="B7" s="717">
        <v>4</v>
      </c>
      <c r="D7" s="54"/>
      <c r="E7" s="88"/>
      <c r="F7" s="1155"/>
      <c r="G7" s="715"/>
      <c r="H7" s="88"/>
      <c r="I7" s="716"/>
    </row>
    <row r="8" spans="1:9" x14ac:dyDescent="0.2">
      <c r="B8" s="717">
        <v>5</v>
      </c>
      <c r="D8" s="54"/>
      <c r="E8" s="88"/>
      <c r="F8" s="1155"/>
      <c r="G8" s="715"/>
      <c r="H8" s="88"/>
      <c r="I8" s="716"/>
    </row>
    <row r="9" spans="1:9" x14ac:dyDescent="0.2">
      <c r="B9" s="717">
        <v>6</v>
      </c>
      <c r="D9" s="54"/>
      <c r="E9" s="88"/>
      <c r="F9" s="1155"/>
      <c r="G9" s="715"/>
      <c r="H9" s="88"/>
      <c r="I9" s="716"/>
    </row>
    <row r="10" spans="1:9" x14ac:dyDescent="0.2">
      <c r="B10" s="717">
        <v>7</v>
      </c>
      <c r="D10" s="54"/>
      <c r="E10" s="88"/>
      <c r="F10" s="1155"/>
      <c r="G10" s="715"/>
      <c r="H10" s="88"/>
      <c r="I10" s="716"/>
    </row>
    <row r="11" spans="1:9" x14ac:dyDescent="0.2">
      <c r="B11" s="717">
        <v>8</v>
      </c>
      <c r="D11" s="54"/>
      <c r="E11" s="88"/>
      <c r="F11" s="1155"/>
      <c r="G11" s="715"/>
      <c r="H11" s="88"/>
      <c r="I11" s="716"/>
    </row>
    <row r="12" spans="1:9" x14ac:dyDescent="0.2">
      <c r="B12" s="717">
        <v>9</v>
      </c>
      <c r="D12" s="54"/>
      <c r="E12" s="88"/>
      <c r="F12" s="1155"/>
      <c r="G12" s="715"/>
      <c r="H12" s="88"/>
      <c r="I12" s="716"/>
    </row>
    <row r="13" spans="1:9" x14ac:dyDescent="0.2">
      <c r="B13" s="717">
        <v>10</v>
      </c>
      <c r="D13" s="54"/>
      <c r="E13" s="88"/>
      <c r="F13" s="1155"/>
      <c r="G13" s="715"/>
      <c r="H13" s="88"/>
      <c r="I13" s="716"/>
    </row>
    <row r="14" spans="1:9" x14ac:dyDescent="0.2">
      <c r="B14" s="717">
        <v>11</v>
      </c>
      <c r="D14" s="54"/>
      <c r="E14" s="88"/>
      <c r="F14" s="1155"/>
      <c r="G14" s="715"/>
      <c r="H14" s="88"/>
      <c r="I14" s="716"/>
    </row>
    <row r="15" spans="1:9" x14ac:dyDescent="0.2">
      <c r="B15" s="717">
        <v>12</v>
      </c>
      <c r="D15" s="54"/>
      <c r="E15" s="88"/>
      <c r="F15" s="1155"/>
      <c r="G15" s="715"/>
      <c r="H15" s="88"/>
      <c r="I15" s="716"/>
    </row>
    <row r="16" spans="1:9" x14ac:dyDescent="0.2">
      <c r="B16" s="717">
        <v>13</v>
      </c>
      <c r="D16" s="54"/>
      <c r="E16" s="88"/>
      <c r="F16" s="1155"/>
      <c r="G16" s="715"/>
      <c r="H16" s="88"/>
      <c r="I16" s="716"/>
    </row>
    <row r="17" spans="1:9" x14ac:dyDescent="0.2">
      <c r="B17" s="717">
        <v>14</v>
      </c>
      <c r="D17" s="54"/>
      <c r="E17" s="88"/>
      <c r="F17" s="1155"/>
      <c r="G17" s="715"/>
      <c r="H17" s="88"/>
      <c r="I17" s="716"/>
    </row>
    <row r="18" spans="1:9" x14ac:dyDescent="0.2">
      <c r="B18" s="717">
        <v>15</v>
      </c>
      <c r="D18" s="55"/>
      <c r="E18" s="88"/>
      <c r="F18" s="1155"/>
      <c r="G18" s="715"/>
      <c r="H18" s="88"/>
      <c r="I18" s="716"/>
    </row>
    <row r="19" spans="1:9" ht="13.15" customHeight="1" x14ac:dyDescent="0.2">
      <c r="B19" s="717"/>
      <c r="D19" s="55"/>
      <c r="E19" s="88"/>
      <c r="F19" s="1155"/>
      <c r="G19" s="715"/>
      <c r="H19" s="88"/>
      <c r="I19" s="716"/>
    </row>
    <row r="20" spans="1:9" x14ac:dyDescent="0.2">
      <c r="B20" s="717"/>
      <c r="D20" s="55"/>
      <c r="E20" s="88"/>
      <c r="F20" s="1156"/>
      <c r="G20" s="715"/>
      <c r="H20" s="88"/>
      <c r="I20" s="716"/>
    </row>
    <row r="21" spans="1:9" x14ac:dyDescent="0.2">
      <c r="C21" s="54"/>
      <c r="D21" s="54"/>
      <c r="G21" s="715"/>
      <c r="I21" s="716"/>
    </row>
    <row r="22" spans="1:9" ht="165.75" x14ac:dyDescent="0.2">
      <c r="B22" s="718">
        <v>1</v>
      </c>
      <c r="C22" s="719" t="s">
        <v>17</v>
      </c>
      <c r="D22" s="720" t="s">
        <v>18</v>
      </c>
      <c r="E22" s="719"/>
      <c r="F22" s="721"/>
      <c r="G22" s="56"/>
      <c r="I22" s="716"/>
    </row>
    <row r="23" spans="1:9" s="58" customFormat="1" ht="45.75" customHeight="1" x14ac:dyDescent="0.2">
      <c r="A23" s="722"/>
      <c r="B23" s="718">
        <v>2</v>
      </c>
      <c r="C23" s="723" t="s">
        <v>19</v>
      </c>
      <c r="D23" s="720" t="s">
        <v>20</v>
      </c>
      <c r="E23" s="719"/>
      <c r="F23" s="720" t="s">
        <v>21</v>
      </c>
      <c r="G23" s="724"/>
      <c r="H23" s="57"/>
      <c r="I23" s="716"/>
    </row>
    <row r="24" spans="1:9" s="58" customFormat="1" ht="47.25" customHeight="1" x14ac:dyDescent="0.2">
      <c r="A24" s="722"/>
      <c r="B24" s="718">
        <v>3</v>
      </c>
      <c r="C24" s="723" t="s">
        <v>22</v>
      </c>
      <c r="D24" s="720" t="s">
        <v>23</v>
      </c>
      <c r="E24" s="719"/>
      <c r="F24" s="720" t="s">
        <v>24</v>
      </c>
      <c r="G24" s="724"/>
      <c r="H24" s="57"/>
      <c r="I24" s="716"/>
    </row>
    <row r="25" spans="1:9" s="58" customFormat="1" ht="87" customHeight="1" x14ac:dyDescent="0.2">
      <c r="A25" s="722"/>
      <c r="B25" s="718">
        <v>4</v>
      </c>
      <c r="C25" s="723" t="s">
        <v>25</v>
      </c>
      <c r="D25" s="720" t="s">
        <v>26</v>
      </c>
      <c r="E25" s="719"/>
      <c r="F25" s="725" t="s">
        <v>27</v>
      </c>
      <c r="G25" s="724"/>
      <c r="H25" s="57"/>
      <c r="I25" s="716"/>
    </row>
    <row r="26" spans="1:9" s="58" customFormat="1" ht="77.25" customHeight="1" x14ac:dyDescent="0.2">
      <c r="A26" s="722"/>
      <c r="B26" s="718">
        <v>5</v>
      </c>
      <c r="C26" s="723" t="s">
        <v>28</v>
      </c>
      <c r="D26" s="720" t="s">
        <v>29</v>
      </c>
      <c r="E26" s="719"/>
      <c r="F26" s="726" t="s">
        <v>30</v>
      </c>
      <c r="G26" s="724"/>
      <c r="H26" s="57"/>
      <c r="I26" s="716"/>
    </row>
    <row r="27" spans="1:9" s="58" customFormat="1" ht="102" customHeight="1" x14ac:dyDescent="0.2">
      <c r="A27" s="722"/>
      <c r="B27" s="718">
        <v>6</v>
      </c>
      <c r="C27" s="723" t="s">
        <v>31</v>
      </c>
      <c r="D27" s="720" t="s">
        <v>32</v>
      </c>
      <c r="E27" s="719"/>
      <c r="F27" s="726" t="s">
        <v>33</v>
      </c>
      <c r="G27" s="724"/>
      <c r="H27" s="57"/>
      <c r="I27" s="716"/>
    </row>
    <row r="28" spans="1:9" s="58" customFormat="1" ht="109.5" customHeight="1" x14ac:dyDescent="0.2">
      <c r="A28" s="722"/>
      <c r="B28" s="718">
        <v>7</v>
      </c>
      <c r="C28" s="723" t="s">
        <v>34</v>
      </c>
      <c r="D28" s="720" t="s">
        <v>35</v>
      </c>
      <c r="E28" s="719"/>
      <c r="F28" s="720" t="s">
        <v>36</v>
      </c>
      <c r="G28" s="724"/>
      <c r="H28" s="57"/>
      <c r="I28" s="716"/>
    </row>
    <row r="29" spans="1:9" s="58" customFormat="1" ht="109.5" customHeight="1" x14ac:dyDescent="0.2">
      <c r="A29" s="722"/>
      <c r="B29" s="718">
        <v>8</v>
      </c>
      <c r="C29" s="723" t="s">
        <v>37</v>
      </c>
      <c r="D29" s="720" t="s">
        <v>38</v>
      </c>
      <c r="E29" s="727"/>
      <c r="F29" s="720"/>
      <c r="G29" s="724"/>
      <c r="H29" s="57"/>
      <c r="I29" s="716"/>
    </row>
    <row r="30" spans="1:9" ht="88.5" customHeight="1" x14ac:dyDescent="0.2">
      <c r="B30" s="718">
        <v>9</v>
      </c>
      <c r="C30" s="723" t="s">
        <v>39</v>
      </c>
      <c r="D30" s="720" t="s">
        <v>40</v>
      </c>
      <c r="E30" s="727"/>
      <c r="F30" s="728" t="s">
        <v>41</v>
      </c>
      <c r="G30" s="56"/>
      <c r="I30" s="716"/>
    </row>
    <row r="31" spans="1:9" ht="64.5" customHeight="1" x14ac:dyDescent="0.2">
      <c r="B31" s="718">
        <v>10</v>
      </c>
      <c r="C31" s="723" t="s">
        <v>42</v>
      </c>
      <c r="D31" s="720" t="s">
        <v>43</v>
      </c>
      <c r="E31" s="729"/>
      <c r="F31" s="720" t="s">
        <v>44</v>
      </c>
      <c r="G31" s="56"/>
      <c r="I31" s="716"/>
    </row>
    <row r="32" spans="1:9" ht="78.75" customHeight="1" x14ac:dyDescent="0.2">
      <c r="B32" s="718">
        <v>11</v>
      </c>
      <c r="C32" s="723" t="s">
        <v>45</v>
      </c>
      <c r="D32" s="720" t="s">
        <v>46</v>
      </c>
      <c r="E32" s="727"/>
      <c r="F32" s="730"/>
      <c r="G32" s="56"/>
      <c r="I32" s="716"/>
    </row>
    <row r="33" spans="2:7" ht="76.5" x14ac:dyDescent="0.2">
      <c r="B33" s="718">
        <v>12</v>
      </c>
      <c r="C33" s="723" t="s">
        <v>47</v>
      </c>
      <c r="D33" s="720" t="s">
        <v>48</v>
      </c>
      <c r="E33" s="727"/>
      <c r="F33" s="720" t="s">
        <v>49</v>
      </c>
      <c r="G33" s="56"/>
    </row>
    <row r="34" spans="2:7" ht="242.25" x14ac:dyDescent="0.2">
      <c r="B34" s="718">
        <v>13</v>
      </c>
      <c r="C34" s="723" t="s">
        <v>50</v>
      </c>
      <c r="D34" s="720" t="s">
        <v>51</v>
      </c>
      <c r="E34" s="729"/>
      <c r="F34" s="720" t="s">
        <v>52</v>
      </c>
      <c r="G34" s="56"/>
    </row>
    <row r="35" spans="2:7" ht="242.25" x14ac:dyDescent="0.2">
      <c r="B35" s="718">
        <v>14</v>
      </c>
      <c r="C35" s="723" t="s">
        <v>53</v>
      </c>
      <c r="D35" s="720" t="s">
        <v>54</v>
      </c>
      <c r="E35" s="723"/>
      <c r="F35" s="720" t="s">
        <v>55</v>
      </c>
      <c r="G35" s="59"/>
    </row>
    <row r="36" spans="2:7" ht="89.25" x14ac:dyDescent="0.2">
      <c r="B36" s="718">
        <v>15</v>
      </c>
      <c r="C36" s="719" t="s">
        <v>56</v>
      </c>
      <c r="D36" s="720" t="s">
        <v>57</v>
      </c>
      <c r="E36" s="727"/>
      <c r="F36" s="725" t="s">
        <v>58</v>
      </c>
      <c r="G36" s="56"/>
    </row>
    <row r="37" spans="2:7" x14ac:dyDescent="0.2">
      <c r="G37" s="715"/>
    </row>
    <row r="38" spans="2:7" x14ac:dyDescent="0.2">
      <c r="G38" s="715"/>
    </row>
    <row r="39" spans="2:7" x14ac:dyDescent="0.2">
      <c r="G39" s="715"/>
    </row>
    <row r="40" spans="2:7" x14ac:dyDescent="0.2">
      <c r="G40" s="715"/>
    </row>
    <row r="41" spans="2:7" x14ac:dyDescent="0.2">
      <c r="G41" s="715"/>
    </row>
    <row r="42" spans="2:7" x14ac:dyDescent="0.2">
      <c r="G42" s="715"/>
    </row>
    <row r="43" spans="2:7" x14ac:dyDescent="0.2">
      <c r="G43" s="715"/>
    </row>
  </sheetData>
  <sheetProtection algorithmName="SHA-512" hashValue="g3mSar2SpGMRXPZpJpYMpo2dpMlOF+obUGF9yhq3GUBKI9hpXGVrsO1jd+a+lBQLsoUslnqQ5LcRQKa0tQmHyA==" saltValue="YF4h9hJ2cdtMY4kBOljAAw==" spinCount="100000" sheet="1" selectLockedCells="1"/>
  <mergeCells count="1">
    <mergeCell ref="F4:F20"/>
  </mergeCells>
  <phoneticPr fontId="36" type="noConversion"/>
  <pageMargins left="0.78740157499999996" right="0.78740157499999996" top="0.984251969" bottom="0.984251969" header="0.4921259845" footer="0.4921259845"/>
  <pageSetup paperSize="9" scale="69" fitToHeight="3" orientation="portrait" r:id="rId1"/>
  <colBreaks count="1" manualBreakCount="1">
    <brk id="6" max="1048575" man="1"/>
  </colBreaks>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U35"/>
  <sheetViews>
    <sheetView showGridLines="0" showRowColHeaders="0" showZeros="0" showOutlineSymbols="0" workbookViewId="0">
      <pane ySplit="1" topLeftCell="A2" activePane="bottomLeft" state="frozen"/>
      <selection pane="bottomLeft" activeCell="H30" sqref="H30"/>
    </sheetView>
  </sheetViews>
  <sheetFormatPr baseColWidth="10" defaultColWidth="11.42578125" defaultRowHeight="12.75" outlineLevelRow="1" outlineLevelCol="1" x14ac:dyDescent="0.2"/>
  <cols>
    <col min="1" max="5" width="11.42578125" style="8"/>
    <col min="6" max="6" width="11.42578125" style="8" customWidth="1"/>
    <col min="7" max="10" width="11.42578125" style="8"/>
    <col min="11" max="17" width="11.42578125" style="8" hidden="1" customWidth="1" outlineLevel="1"/>
    <col min="18" max="18" width="11.42578125" style="8" collapsed="1"/>
    <col min="19" max="19" width="4.28515625" style="8" hidden="1" customWidth="1"/>
    <col min="20" max="20" width="11.42578125" style="8" customWidth="1"/>
    <col min="21" max="16384" width="11.42578125" style="8"/>
  </cols>
  <sheetData>
    <row r="1" spans="1:21" s="33" customFormat="1" ht="20.25" x14ac:dyDescent="0.3">
      <c r="A1" s="64"/>
      <c r="B1" s="32" t="s">
        <v>59</v>
      </c>
      <c r="K1" s="731"/>
    </row>
    <row r="3" spans="1:21" x14ac:dyDescent="0.2">
      <c r="B3" s="34" t="s">
        <v>60</v>
      </c>
      <c r="D3" s="1162" t="s">
        <v>61</v>
      </c>
      <c r="E3" s="1163"/>
      <c r="F3" s="1164"/>
      <c r="H3" s="732"/>
    </row>
    <row r="4" spans="1:21" x14ac:dyDescent="0.2">
      <c r="B4" s="34" t="s">
        <v>62</v>
      </c>
      <c r="D4" s="1162" t="s">
        <v>63</v>
      </c>
      <c r="E4" s="1163"/>
      <c r="F4" s="1164"/>
      <c r="L4" s="8" t="str">
        <f>CONCATENATE(D4,", ",D3)</f>
        <v>Max Muster, Musterstelle</v>
      </c>
    </row>
    <row r="5" spans="1:21" x14ac:dyDescent="0.2">
      <c r="B5" s="34" t="s">
        <v>64</v>
      </c>
      <c r="D5" s="1162" t="s">
        <v>65</v>
      </c>
      <c r="E5" s="1163"/>
      <c r="F5" s="1164"/>
      <c r="H5" s="732"/>
      <c r="L5" s="8">
        <f>YEAR(H12)</f>
        <v>2026</v>
      </c>
    </row>
    <row r="6" spans="1:21" x14ac:dyDescent="0.2">
      <c r="B6" s="34" t="s">
        <v>66</v>
      </c>
      <c r="D6" s="733">
        <v>1982</v>
      </c>
      <c r="G6" s="40"/>
      <c r="P6" s="40"/>
    </row>
    <row r="7" spans="1:21" x14ac:dyDescent="0.2">
      <c r="B7" s="34" t="s">
        <v>67</v>
      </c>
      <c r="D7" s="733">
        <v>4.5999999999999996</v>
      </c>
      <c r="E7" s="710" t="s">
        <v>68</v>
      </c>
      <c r="G7" s="40"/>
      <c r="L7" s="36" t="str">
        <f>IF(YEAR(H12)-D6&gt;=60,"226:48",IF(YEAR(H12)-D6&gt;=50,"226:48",IF(YEAR(H12)-D6&lt;=20,"226:48","193:12")))</f>
        <v>193:12</v>
      </c>
      <c r="M7" s="709">
        <f>L7*24/42</f>
        <v>4.6000000000000005</v>
      </c>
      <c r="P7" s="40"/>
      <c r="U7" s="8" t="s">
        <v>69</v>
      </c>
    </row>
    <row r="8" spans="1:21" hidden="1" outlineLevel="1" x14ac:dyDescent="0.2">
      <c r="B8" s="34" t="s">
        <v>70</v>
      </c>
      <c r="D8" s="1159"/>
      <c r="E8" s="1160"/>
      <c r="F8" s="1161"/>
      <c r="G8" s="40" t="s">
        <v>71</v>
      </c>
      <c r="L8" s="36">
        <f>IF(ISERROR(LOOKUP(1000,P12:P21)),"",LOOKUP(1000,P12:P21))</f>
        <v>8.0499999999999989</v>
      </c>
      <c r="M8" s="8" t="s">
        <v>72</v>
      </c>
    </row>
    <row r="9" spans="1:21" collapsed="1" x14ac:dyDescent="0.2">
      <c r="E9" s="35" t="s">
        <v>73</v>
      </c>
    </row>
    <row r="10" spans="1:21" x14ac:dyDescent="0.2">
      <c r="B10" s="34" t="s">
        <v>74</v>
      </c>
      <c r="H10" s="34" t="s">
        <v>75</v>
      </c>
    </row>
    <row r="11" spans="1:21" ht="12.75" customHeight="1" x14ac:dyDescent="0.2">
      <c r="B11" s="734" t="s">
        <v>76</v>
      </c>
      <c r="E11" s="40"/>
      <c r="F11" s="735" t="s">
        <v>77</v>
      </c>
      <c r="H11" s="736" t="s">
        <v>78</v>
      </c>
      <c r="I11" s="737" t="s">
        <v>79</v>
      </c>
      <c r="J11" s="737" t="s">
        <v>80</v>
      </c>
      <c r="K11" s="738" t="s">
        <v>81</v>
      </c>
      <c r="L11" s="739" t="s">
        <v>82</v>
      </c>
      <c r="M11" s="739" t="s">
        <v>83</v>
      </c>
      <c r="N11" s="740" t="s">
        <v>84</v>
      </c>
      <c r="O11" s="739"/>
      <c r="P11" s="741" t="s">
        <v>85</v>
      </c>
      <c r="Q11" s="742" t="s">
        <v>86</v>
      </c>
      <c r="R11" s="743" t="s">
        <v>87</v>
      </c>
    </row>
    <row r="12" spans="1:21" ht="12.75" customHeight="1" x14ac:dyDescent="0.2">
      <c r="B12" s="88" t="s">
        <v>88</v>
      </c>
      <c r="E12" s="40"/>
      <c r="F12" s="735" t="s">
        <v>89</v>
      </c>
      <c r="H12" s="744">
        <v>44561</v>
      </c>
      <c r="I12" s="744">
        <v>44925</v>
      </c>
      <c r="J12" s="745">
        <v>100</v>
      </c>
      <c r="K12" s="746">
        <f>IF(AND(H12&lt;&gt;"",I12&lt;&gt;""),MONTH(I12)-MONTH(H12)+1,"")</f>
        <v>12</v>
      </c>
      <c r="L12" s="38">
        <f t="shared" ref="L12:L21" si="0">IF(AND(H12&lt;&gt;"",I12&lt;&gt;""),(FerienWoche*42/24)*K12/12*J12/100,"")</f>
        <v>8.0499999999999989</v>
      </c>
      <c r="M12" s="38">
        <f>IF(H12&lt;&gt;"",L12,"")</f>
        <v>8.0499999999999989</v>
      </c>
      <c r="N12" s="747">
        <f>IF(J12&lt;&gt;"",J12*K12/12,"")</f>
        <v>100</v>
      </c>
      <c r="O12" s="747" t="str">
        <f>IF(AND(H12&lt;&gt;"",I12&lt;&gt;"",OR(J12="",J12&lt;0,J12&gt;150)),"Fehler","")</f>
        <v/>
      </c>
      <c r="P12" s="748">
        <f>IF(AND(H12&lt;&gt;"",I12&lt;&gt;""),IF(O12="",LOOKUP(M12,M12),""),"")</f>
        <v>8.0499999999999989</v>
      </c>
      <c r="Q12" s="749">
        <f t="shared" ref="Q12:Q21" si="1">IF(H12="","",Normtagesarbeitszeit*24*J12/100/24)</f>
        <v>0.34999999999999992</v>
      </c>
      <c r="R12" s="39">
        <f t="shared" ref="R12:R21" si="2">IF(ISERROR(Q12*5),"",Q12*5)</f>
        <v>1.7499999999999996</v>
      </c>
      <c r="S12" s="750" t="s">
        <v>90</v>
      </c>
      <c r="T12" s="40" t="str">
        <f>IF(TEXT(R$12,"h:mm")&lt;&gt;TEXT(R$26,"h:mm"),"Achtung! Es besteht eine Differenz zwischen den Tabellen dieser Seite!", "")</f>
        <v/>
      </c>
    </row>
    <row r="13" spans="1:21" x14ac:dyDescent="0.2">
      <c r="H13" s="744"/>
      <c r="I13" s="744"/>
      <c r="J13" s="745"/>
      <c r="K13" s="746" t="str">
        <f t="shared" ref="K13:K21" si="3">IF(H13&lt;&gt;"",MONTH(I13)-MONTH(H13)+1,"")</f>
        <v/>
      </c>
      <c r="L13" s="38" t="str">
        <f t="shared" si="0"/>
        <v/>
      </c>
      <c r="M13" s="38" t="str">
        <f t="shared" ref="M13:M21" si="4">IF(H13&lt;&gt;"",M12+L13,"")</f>
        <v/>
      </c>
      <c r="N13" s="747" t="str">
        <f t="shared" ref="N13:N21" si="5">IF(J13&lt;&gt;"",J13*K13/12+N12,"")</f>
        <v/>
      </c>
      <c r="O13" s="747" t="str">
        <f t="shared" ref="O13:O21" si="6">IF(AND(H13&lt;&gt;"",OR(J13="",J13&lt;0,J13&gt;100)),"Fehler","")</f>
        <v/>
      </c>
      <c r="P13" s="748" t="str">
        <f>IF(AND(H13&lt;&gt;"",I13&lt;&gt;""),IF(O13="",LOOKUP(M13,M13),""),"")</f>
        <v/>
      </c>
      <c r="Q13" s="749" t="str">
        <f t="shared" si="1"/>
        <v/>
      </c>
      <c r="R13" s="39" t="str">
        <f t="shared" si="2"/>
        <v/>
      </c>
      <c r="S13" s="750" t="s">
        <v>91</v>
      </c>
      <c r="T13" s="40" t="str">
        <f>IF(TEXT(R$13,"h:mm")&lt;&gt;TEXT(R$27,"h:mm"),"Achtung! Es besteht eine Differenz zwischen den Tabellen dieser Seite!", "")</f>
        <v/>
      </c>
    </row>
    <row r="14" spans="1:21" x14ac:dyDescent="0.2">
      <c r="H14" s="744"/>
      <c r="I14" s="744"/>
      <c r="J14" s="745"/>
      <c r="K14" s="746" t="str">
        <f t="shared" si="3"/>
        <v/>
      </c>
      <c r="L14" s="38" t="str">
        <f t="shared" si="0"/>
        <v/>
      </c>
      <c r="M14" s="38" t="str">
        <f t="shared" si="4"/>
        <v/>
      </c>
      <c r="N14" s="747" t="str">
        <f t="shared" si="5"/>
        <v/>
      </c>
      <c r="O14" s="747" t="str">
        <f t="shared" si="6"/>
        <v/>
      </c>
      <c r="P14" s="748" t="str">
        <f t="shared" ref="P14:P21" si="7">IF(AND(H14&lt;&gt;"",I14&lt;&gt;""),IF(O14="",LOOKUP(M14,M14),""),"")</f>
        <v/>
      </c>
      <c r="Q14" s="749" t="str">
        <f t="shared" si="1"/>
        <v/>
      </c>
      <c r="R14" s="39" t="str">
        <f t="shared" si="2"/>
        <v/>
      </c>
      <c r="S14" s="750" t="s">
        <v>92</v>
      </c>
      <c r="T14" s="40" t="str">
        <f>IF(TEXT(R$14,"h:mm")&lt;&gt;TEXT(R$28,"h:mm"),"Achtung! Es besteht eine Differenz zwischen den Tabellen dieser Seite!", "")</f>
        <v/>
      </c>
    </row>
    <row r="15" spans="1:21" x14ac:dyDescent="0.2">
      <c r="H15" s="744"/>
      <c r="I15" s="744"/>
      <c r="J15" s="745"/>
      <c r="K15" s="746" t="str">
        <f>IF(H15&lt;&gt;"",MONTH(I15)-MONTH(H15)+1,"")</f>
        <v/>
      </c>
      <c r="L15" s="38" t="str">
        <f t="shared" si="0"/>
        <v/>
      </c>
      <c r="M15" s="38" t="str">
        <f t="shared" si="4"/>
        <v/>
      </c>
      <c r="N15" s="747" t="str">
        <f t="shared" si="5"/>
        <v/>
      </c>
      <c r="O15" s="747" t="str">
        <f t="shared" si="6"/>
        <v/>
      </c>
      <c r="P15" s="748" t="str">
        <f t="shared" si="7"/>
        <v/>
      </c>
      <c r="Q15" s="749" t="str">
        <f t="shared" si="1"/>
        <v/>
      </c>
      <c r="R15" s="39" t="str">
        <f>IF(ISERROR(Q15*5),"",Q15*5)</f>
        <v/>
      </c>
      <c r="S15" s="750" t="s">
        <v>93</v>
      </c>
      <c r="T15" s="40" t="str">
        <f>IF(TEXT(R$15,"h:mm")&lt;&gt;TEXT(R$29,"h:mm"),"Achtung! Es besteht eine Differenz zwischen den Tabellen dieser Seite!", "")</f>
        <v/>
      </c>
    </row>
    <row r="16" spans="1:21" x14ac:dyDescent="0.2">
      <c r="B16" s="50" t="s">
        <v>94</v>
      </c>
      <c r="D16" s="1157" t="s">
        <v>95</v>
      </c>
      <c r="E16" s="1157"/>
      <c r="F16" s="1157" t="s">
        <v>96</v>
      </c>
      <c r="G16" s="1158"/>
      <c r="H16" s="744"/>
      <c r="I16" s="744"/>
      <c r="J16" s="745"/>
      <c r="K16" s="746" t="str">
        <f t="shared" si="3"/>
        <v/>
      </c>
      <c r="L16" s="38" t="str">
        <f t="shared" si="0"/>
        <v/>
      </c>
      <c r="M16" s="38" t="str">
        <f t="shared" si="4"/>
        <v/>
      </c>
      <c r="N16" s="747" t="str">
        <f t="shared" si="5"/>
        <v/>
      </c>
      <c r="O16" s="747" t="str">
        <f t="shared" si="6"/>
        <v/>
      </c>
      <c r="P16" s="748" t="str">
        <f t="shared" si="7"/>
        <v/>
      </c>
      <c r="Q16" s="749" t="str">
        <f t="shared" si="1"/>
        <v/>
      </c>
      <c r="R16" s="39" t="str">
        <f t="shared" si="2"/>
        <v/>
      </c>
      <c r="S16" s="750" t="s">
        <v>97</v>
      </c>
      <c r="T16" s="40" t="str">
        <f>IF(TEXT(R$16,"h:mm")&lt;&gt;TEXT(R$30,"h:mm"),"Achtung! Es besteht eine Differenz zwischen den Tabellen dieser Seite!", "")</f>
        <v/>
      </c>
    </row>
    <row r="17" spans="2:20" x14ac:dyDescent="0.2">
      <c r="B17" s="88" t="s">
        <v>98</v>
      </c>
      <c r="D17" s="51">
        <f>ctJahresuebersicht!R15</f>
        <v>88.383333339999965</v>
      </c>
      <c r="E17" s="88" t="s">
        <v>99</v>
      </c>
      <c r="F17" s="52">
        <f>D17-Eingabeblatt!A175</f>
        <v>88.382638895555516</v>
      </c>
      <c r="G17" s="8" t="s">
        <v>99</v>
      </c>
      <c r="H17" s="744"/>
      <c r="I17" s="744"/>
      <c r="J17" s="745"/>
      <c r="K17" s="746" t="str">
        <f t="shared" si="3"/>
        <v/>
      </c>
      <c r="L17" s="38" t="str">
        <f t="shared" si="0"/>
        <v/>
      </c>
      <c r="M17" s="38" t="str">
        <f t="shared" si="4"/>
        <v/>
      </c>
      <c r="N17" s="747" t="str">
        <f t="shared" si="5"/>
        <v/>
      </c>
      <c r="O17" s="747" t="str">
        <f t="shared" si="6"/>
        <v/>
      </c>
      <c r="P17" s="748" t="str">
        <f t="shared" si="7"/>
        <v/>
      </c>
      <c r="Q17" s="749" t="str">
        <f t="shared" si="1"/>
        <v/>
      </c>
      <c r="R17" s="39" t="str">
        <f t="shared" si="2"/>
        <v/>
      </c>
      <c r="S17" s="750" t="s">
        <v>100</v>
      </c>
      <c r="T17" s="40" t="str">
        <f>IF(TEXT(R$17,"h:mm")&lt;&gt;TEXT(R$31,"h:mm"),"Achtung! Es besteht eine Differenz zwischen den Tabellen dieser Seite!", "")</f>
        <v/>
      </c>
    </row>
    <row r="18" spans="2:20" x14ac:dyDescent="0.2">
      <c r="B18" s="88" t="s">
        <v>101</v>
      </c>
      <c r="D18" s="52">
        <f>IF(ISERROR(LOOKUP(1000,ctPersonalangaben!P12:'ctPersonalangaben'!P21)),"",LOOKUP(1000,ctPersonalangaben!P12:'ctPersonalangaben'!P21))</f>
        <v>8.0499999999999989</v>
      </c>
      <c r="E18" s="88" t="s">
        <v>99</v>
      </c>
      <c r="F18" s="52">
        <f>Eingabeblatt!E24+F12</f>
        <v>8.0499999999999989</v>
      </c>
      <c r="G18" s="8" t="s">
        <v>99</v>
      </c>
      <c r="H18" s="744"/>
      <c r="I18" s="744"/>
      <c r="J18" s="745"/>
      <c r="K18" s="746" t="str">
        <f>IF(H18&lt;&gt;"",MONTH(I18)-MONTH(H18)+1,"")</f>
        <v/>
      </c>
      <c r="L18" s="38" t="str">
        <f t="shared" si="0"/>
        <v/>
      </c>
      <c r="M18" s="38" t="str">
        <f t="shared" si="4"/>
        <v/>
      </c>
      <c r="N18" s="747" t="str">
        <f t="shared" si="5"/>
        <v/>
      </c>
      <c r="O18" s="747" t="str">
        <f t="shared" si="6"/>
        <v/>
      </c>
      <c r="P18" s="748" t="str">
        <f t="shared" si="7"/>
        <v/>
      </c>
      <c r="Q18" s="749" t="str">
        <f t="shared" si="1"/>
        <v/>
      </c>
      <c r="R18" s="39" t="str">
        <f t="shared" si="2"/>
        <v/>
      </c>
      <c r="S18" s="750" t="s">
        <v>102</v>
      </c>
      <c r="T18" s="40" t="str">
        <f>IF(TEXT(R$18,"h:mm")&lt;&gt;TEXT(R$32,"h:mm"),"Achtung! Es besteht eine Differenz zwischen den Tabellen dieser Seite!", "")</f>
        <v/>
      </c>
    </row>
    <row r="19" spans="2:20" x14ac:dyDescent="0.2">
      <c r="B19" s="88" t="s">
        <v>103</v>
      </c>
      <c r="D19" s="51">
        <f>ctFeierFreitage!K28</f>
        <v>3.3166666666666669</v>
      </c>
      <c r="E19" s="88" t="s">
        <v>99</v>
      </c>
      <c r="H19" s="744"/>
      <c r="I19" s="744"/>
      <c r="J19" s="745"/>
      <c r="K19" s="746" t="str">
        <f t="shared" si="3"/>
        <v/>
      </c>
      <c r="L19" s="38" t="str">
        <f t="shared" si="0"/>
        <v/>
      </c>
      <c r="M19" s="38" t="str">
        <f t="shared" si="4"/>
        <v/>
      </c>
      <c r="N19" s="747" t="str">
        <f t="shared" si="5"/>
        <v/>
      </c>
      <c r="O19" s="747" t="str">
        <f t="shared" si="6"/>
        <v/>
      </c>
      <c r="P19" s="748" t="str">
        <f t="shared" si="7"/>
        <v/>
      </c>
      <c r="Q19" s="749" t="str">
        <f t="shared" si="1"/>
        <v/>
      </c>
      <c r="R19" s="39" t="str">
        <f t="shared" si="2"/>
        <v/>
      </c>
      <c r="S19" s="750" t="s">
        <v>104</v>
      </c>
      <c r="T19" s="40" t="str">
        <f>IF(TEXT(R$19,"h:mm")&lt;&gt;TEXT(R$33,"h:mm"),"Achtung! Es besteht eine Differenz zwischen den Tabellen dieser Seite!", "")</f>
        <v/>
      </c>
    </row>
    <row r="20" spans="2:20" x14ac:dyDescent="0.2">
      <c r="B20" s="88" t="s">
        <v>105</v>
      </c>
      <c r="D20" s="53">
        <f>Eingabeblatt!I3</f>
        <v>100</v>
      </c>
      <c r="E20" s="88" t="s">
        <v>106</v>
      </c>
      <c r="H20" s="744"/>
      <c r="I20" s="744"/>
      <c r="J20" s="745"/>
      <c r="K20" s="746" t="str">
        <f t="shared" si="3"/>
        <v/>
      </c>
      <c r="L20" s="38" t="str">
        <f t="shared" si="0"/>
        <v/>
      </c>
      <c r="M20" s="38" t="str">
        <f t="shared" si="4"/>
        <v/>
      </c>
      <c r="N20" s="747" t="str">
        <f t="shared" si="5"/>
        <v/>
      </c>
      <c r="O20" s="747" t="str">
        <f t="shared" si="6"/>
        <v/>
      </c>
      <c r="P20" s="748" t="str">
        <f t="shared" si="7"/>
        <v/>
      </c>
      <c r="Q20" s="749" t="str">
        <f t="shared" si="1"/>
        <v/>
      </c>
      <c r="R20" s="39" t="str">
        <f t="shared" si="2"/>
        <v/>
      </c>
      <c r="S20" s="750" t="s">
        <v>107</v>
      </c>
      <c r="T20" s="40" t="str">
        <f>IF(TEXT(R$20,"h:mm")&lt;&gt;TEXT(R$34,"h:mm"),"Achtung! Es besteht eine Differenz zwischen den Tabellen dieser Seite!", "")</f>
        <v/>
      </c>
    </row>
    <row r="21" spans="2:20" x14ac:dyDescent="0.2">
      <c r="H21" s="744"/>
      <c r="I21" s="744"/>
      <c r="J21" s="745"/>
      <c r="K21" s="751" t="str">
        <f t="shared" si="3"/>
        <v/>
      </c>
      <c r="L21" s="752" t="str">
        <f t="shared" si="0"/>
        <v/>
      </c>
      <c r="M21" s="752" t="str">
        <f t="shared" si="4"/>
        <v/>
      </c>
      <c r="N21" s="753" t="str">
        <f t="shared" si="5"/>
        <v/>
      </c>
      <c r="O21" s="753" t="str">
        <f t="shared" si="6"/>
        <v/>
      </c>
      <c r="P21" s="754" t="str">
        <f t="shared" si="7"/>
        <v/>
      </c>
      <c r="Q21" s="755" t="str">
        <f t="shared" si="1"/>
        <v/>
      </c>
      <c r="R21" s="41" t="str">
        <f t="shared" si="2"/>
        <v/>
      </c>
      <c r="S21" s="750" t="s">
        <v>108</v>
      </c>
      <c r="T21" s="40" t="str">
        <f>IF(TEXT(R$21,"h:mm")&lt;&gt;TEXT(R$35,"h:mm"),"Achtung! Es besteht eine Differenz zwischen den Tabellen dieser Seite!", "")</f>
        <v/>
      </c>
    </row>
    <row r="22" spans="2:20" x14ac:dyDescent="0.2">
      <c r="H22" s="8" t="s">
        <v>109</v>
      </c>
      <c r="S22" s="756"/>
    </row>
    <row r="23" spans="2:20" x14ac:dyDescent="0.2">
      <c r="S23" s="756"/>
    </row>
    <row r="24" spans="2:20" x14ac:dyDescent="0.2">
      <c r="B24" s="34" t="s">
        <v>110</v>
      </c>
      <c r="S24" s="756"/>
    </row>
    <row r="25" spans="2:20" x14ac:dyDescent="0.2">
      <c r="B25" s="757" t="s">
        <v>111</v>
      </c>
      <c r="C25" s="42"/>
      <c r="D25" s="758" t="s">
        <v>112</v>
      </c>
      <c r="E25" s="758" t="s">
        <v>113</v>
      </c>
      <c r="F25" s="758" t="s">
        <v>114</v>
      </c>
      <c r="G25" s="758" t="s">
        <v>115</v>
      </c>
      <c r="H25" s="758" t="s">
        <v>116</v>
      </c>
      <c r="I25" s="758" t="s">
        <v>117</v>
      </c>
      <c r="J25" s="758" t="s">
        <v>118</v>
      </c>
      <c r="R25" s="743" t="s">
        <v>87</v>
      </c>
      <c r="S25" s="756"/>
    </row>
    <row r="26" spans="2:20" x14ac:dyDescent="0.2">
      <c r="B26" s="744">
        <v>44561</v>
      </c>
      <c r="C26" s="31"/>
      <c r="D26" s="759"/>
      <c r="E26" s="759">
        <v>0.35000000000000003</v>
      </c>
      <c r="F26" s="759">
        <v>0.35000000000000003</v>
      </c>
      <c r="G26" s="759">
        <v>0.35000000000000003</v>
      </c>
      <c r="H26" s="759">
        <v>0.35</v>
      </c>
      <c r="I26" s="759">
        <v>0.35000000000000003</v>
      </c>
      <c r="J26" s="759"/>
      <c r="R26" s="39">
        <f t="shared" ref="R26:R35" si="8">IF(R12&lt;&gt;"",SUM(D26:J26),"")</f>
        <v>1.75</v>
      </c>
      <c r="S26" s="750" t="s">
        <v>119</v>
      </c>
      <c r="T26" s="40" t="str">
        <f>IF(TEXT(R$12,"h:mm")&lt;&gt;TEXT(R$26,"h:mm"),"Achtung! Es besteht eine Differenz zwischen den Tabellen dieser Seite!", "")</f>
        <v/>
      </c>
    </row>
    <row r="27" spans="2:20" x14ac:dyDescent="0.2">
      <c r="B27" s="744"/>
      <c r="C27" s="31"/>
      <c r="D27" s="759"/>
      <c r="E27" s="759"/>
      <c r="F27" s="759"/>
      <c r="G27" s="759"/>
      <c r="H27" s="759"/>
      <c r="I27" s="759"/>
      <c r="J27" s="759"/>
      <c r="R27" s="39" t="str">
        <f t="shared" si="8"/>
        <v/>
      </c>
      <c r="S27" s="750" t="s">
        <v>120</v>
      </c>
      <c r="T27" s="40" t="str">
        <f>IF(TEXT(R$13,"h:mm")&lt;&gt;TEXT(R$27,"h:mm"),"Achtung! Es besteht eine Differenz zwischen den Tabellen dieser Seite!", "")</f>
        <v/>
      </c>
    </row>
    <row r="28" spans="2:20" x14ac:dyDescent="0.2">
      <c r="B28" s="744"/>
      <c r="C28" s="31"/>
      <c r="D28" s="759"/>
      <c r="E28" s="759"/>
      <c r="F28" s="759"/>
      <c r="G28" s="759"/>
      <c r="H28" s="759"/>
      <c r="I28" s="759"/>
      <c r="J28" s="759"/>
      <c r="R28" s="39" t="str">
        <f t="shared" si="8"/>
        <v/>
      </c>
      <c r="S28" s="750" t="s">
        <v>121</v>
      </c>
      <c r="T28" s="40" t="str">
        <f>IF(TEXT(R$14,"h:mm")&lt;&gt;TEXT(R$28,"h:mm"),"Achtung! Es besteht eine Differenz zwischen den Tabellen dieser Seite!", "")</f>
        <v/>
      </c>
    </row>
    <row r="29" spans="2:20" x14ac:dyDescent="0.2">
      <c r="B29" s="744"/>
      <c r="C29" s="31"/>
      <c r="D29" s="759"/>
      <c r="E29" s="759"/>
      <c r="F29" s="759"/>
      <c r="G29" s="759"/>
      <c r="H29" s="759"/>
      <c r="I29" s="759"/>
      <c r="J29" s="759"/>
      <c r="R29" s="39" t="str">
        <f t="shared" si="8"/>
        <v/>
      </c>
      <c r="S29" s="750" t="s">
        <v>122</v>
      </c>
      <c r="T29" s="40" t="str">
        <f>IF(TEXT(R$15,"h:mm")&lt;&gt;TEXT(R$29,"h:mm"),"Achtung! Es besteht eine Differenz zwischen den Tabellen dieser Seite!", "")</f>
        <v/>
      </c>
    </row>
    <row r="30" spans="2:20" x14ac:dyDescent="0.2">
      <c r="B30" s="744"/>
      <c r="C30" s="31"/>
      <c r="D30" s="759"/>
      <c r="E30" s="759"/>
      <c r="F30" s="759"/>
      <c r="G30" s="759"/>
      <c r="H30" s="759"/>
      <c r="I30" s="759"/>
      <c r="J30" s="759"/>
      <c r="R30" s="39" t="str">
        <f t="shared" si="8"/>
        <v/>
      </c>
      <c r="S30" s="750" t="s">
        <v>123</v>
      </c>
      <c r="T30" s="40" t="str">
        <f>IF(TEXT(R$16,"h:mm")&lt;&gt;TEXT(R$30,"h:mm"),"Achtung! Es besteht eine Differenz zwischen den Tabellen dieser Seite!", "")</f>
        <v/>
      </c>
    </row>
    <row r="31" spans="2:20" x14ac:dyDescent="0.2">
      <c r="B31" s="744"/>
      <c r="C31" s="31"/>
      <c r="D31" s="759"/>
      <c r="E31" s="759"/>
      <c r="F31" s="759"/>
      <c r="G31" s="759"/>
      <c r="H31" s="759"/>
      <c r="I31" s="759"/>
      <c r="J31" s="759"/>
      <c r="R31" s="39" t="str">
        <f t="shared" si="8"/>
        <v/>
      </c>
      <c r="S31" s="750" t="s">
        <v>124</v>
      </c>
      <c r="T31" s="40" t="str">
        <f>IF(TEXT(R$17,"h:mm")&lt;&gt;TEXT(R$31,"h:mm"),"Achtung! Es besteht eine Differenz zwischen den Tabellen dieser Seite!", "")</f>
        <v/>
      </c>
    </row>
    <row r="32" spans="2:20" x14ac:dyDescent="0.2">
      <c r="B32" s="744"/>
      <c r="C32" s="43"/>
      <c r="D32" s="760"/>
      <c r="E32" s="759"/>
      <c r="F32" s="759"/>
      <c r="G32" s="759"/>
      <c r="H32" s="759"/>
      <c r="I32" s="759"/>
      <c r="J32" s="760"/>
      <c r="R32" s="39" t="str">
        <f t="shared" si="8"/>
        <v/>
      </c>
      <c r="S32" s="750" t="s">
        <v>125</v>
      </c>
      <c r="T32" s="40" t="str">
        <f>IF(TEXT(R$18,"h:mm")&lt;&gt;TEXT(R$32,"h:mm"),"Achtung! Es besteht eine Differenz zwischen den Tabellen dieser Seite!", "")</f>
        <v/>
      </c>
    </row>
    <row r="33" spans="2:20" x14ac:dyDescent="0.2">
      <c r="B33" s="744"/>
      <c r="C33" s="43"/>
      <c r="D33" s="760"/>
      <c r="E33" s="759"/>
      <c r="F33" s="759"/>
      <c r="G33" s="759"/>
      <c r="H33" s="759"/>
      <c r="I33" s="759"/>
      <c r="J33" s="760"/>
      <c r="R33" s="39" t="str">
        <f t="shared" si="8"/>
        <v/>
      </c>
      <c r="S33" s="750" t="s">
        <v>126</v>
      </c>
      <c r="T33" s="40" t="str">
        <f>IF(TEXT(R$19,"h:mm")&lt;&gt;TEXT(R$33,"h:mm"),"Achtung! Es besteht eine Differenz zwischen den Tabellen dieser Seite!", "")</f>
        <v/>
      </c>
    </row>
    <row r="34" spans="2:20" x14ac:dyDescent="0.2">
      <c r="B34" s="744"/>
      <c r="C34" s="43"/>
      <c r="D34" s="760"/>
      <c r="E34" s="759"/>
      <c r="F34" s="759"/>
      <c r="G34" s="759"/>
      <c r="H34" s="759"/>
      <c r="I34" s="759"/>
      <c r="J34" s="760"/>
      <c r="R34" s="39" t="str">
        <f t="shared" si="8"/>
        <v/>
      </c>
      <c r="S34" s="750" t="s">
        <v>127</v>
      </c>
      <c r="T34" s="40" t="str">
        <f>IF(TEXT(R$20,"h:mm")&lt;&gt;TEXT(R$34,"h:mm"),"Achtung! Es besteht eine Differenz zwischen den Tabellen dieser Seite!", "")</f>
        <v/>
      </c>
    </row>
    <row r="35" spans="2:20" x14ac:dyDescent="0.2">
      <c r="B35" s="744"/>
      <c r="C35" s="43"/>
      <c r="D35" s="760"/>
      <c r="E35" s="760"/>
      <c r="F35" s="760"/>
      <c r="G35" s="760"/>
      <c r="H35" s="760"/>
      <c r="I35" s="760"/>
      <c r="J35" s="760"/>
      <c r="R35" s="41" t="str">
        <f t="shared" si="8"/>
        <v/>
      </c>
      <c r="S35" s="750" t="s">
        <v>128</v>
      </c>
      <c r="T35" s="40" t="str">
        <f>IF(TEXT(R$21,"h:mm")&lt;&gt;TEXT(R$35,"h:mm"),"Achtung! Es besteht eine Differenz zwischen den Tabellen dieser Seite!", "")</f>
        <v/>
      </c>
    </row>
  </sheetData>
  <sheetProtection algorithmName="SHA-512" hashValue="QMNl5UcURNBgFGTs5IWzNqZPByRAtXiA7O74diW8V98OS3vV19aCDY8NRrUUZjIOvz1pfYOv7E+3wmt8pcS3TQ==" saltValue="/Ir+DE2QOTS75vs/AIW/Cg==" spinCount="100000" sheet="1" selectLockedCells="1"/>
  <mergeCells count="6">
    <mergeCell ref="D16:E16"/>
    <mergeCell ref="F16:G16"/>
    <mergeCell ref="D8:F8"/>
    <mergeCell ref="D3:F3"/>
    <mergeCell ref="D4:F4"/>
    <mergeCell ref="D5:F5"/>
  </mergeCells>
  <phoneticPr fontId="9" type="noConversion"/>
  <conditionalFormatting sqref="B26:B35">
    <cfRule type="expression" dxfId="318" priority="2" stopIfTrue="1">
      <formula>B26&lt;&gt;#REF!</formula>
    </cfRule>
  </conditionalFormatting>
  <conditionalFormatting sqref="R26:R35">
    <cfRule type="cellIs" dxfId="317" priority="1" stopIfTrue="1" operator="equal">
      <formula>0</formula>
    </cfRule>
  </conditionalFormatting>
  <printOptions horizontalCentered="1" verticalCentered="1"/>
  <pageMargins left="0.70866141732283472" right="0.70866141732283472" top="0.78740157480314965" bottom="0.78740157480314965" header="0.31496062992125984" footer="0.31496062992125984"/>
  <pageSetup paperSize="9" orientation="landscape" r:id="rId1"/>
  <headerFooter>
    <oddFooter>&amp;LDatum/Unterschrift MA:&amp;CDatum/Unterschrift Vorges.:&amp;RAusdruck vom &amp;D</oddFooter>
  </headerFooter>
  <colBreaks count="1" manualBreakCount="1">
    <brk id="18" max="1048575" man="1"/>
  </colBreaks>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autoPageBreaks="0" fitToPage="1"/>
  </sheetPr>
  <dimension ref="B1:M31"/>
  <sheetViews>
    <sheetView showGridLines="0" showRowColHeaders="0" showOutlineSymbols="0" zoomScaleNormal="100" workbookViewId="0">
      <pane ySplit="1" topLeftCell="A2" activePane="bottomLeft" state="frozen"/>
      <selection pane="bottomLeft" activeCell="C19" sqref="C19"/>
    </sheetView>
  </sheetViews>
  <sheetFormatPr baseColWidth="10" defaultColWidth="11.42578125" defaultRowHeight="12.75" x14ac:dyDescent="0.2"/>
  <cols>
    <col min="1" max="1" width="11.42578125" style="8"/>
    <col min="2" max="2" width="12" style="8" bestFit="1" customWidth="1"/>
    <col min="3" max="4" width="11.42578125" style="8" bestFit="1" customWidth="1"/>
    <col min="5" max="6" width="11.42578125" style="8"/>
    <col min="7" max="7" width="11.42578125" style="8" bestFit="1" customWidth="1"/>
    <col min="8" max="8" width="0" style="8" hidden="1" customWidth="1"/>
    <col min="9" max="11" width="11.42578125" style="8" bestFit="1" customWidth="1"/>
    <col min="12" max="16384" width="11.42578125" style="8"/>
  </cols>
  <sheetData>
    <row r="1" spans="2:13" s="33" customFormat="1" ht="20.25" x14ac:dyDescent="0.3">
      <c r="B1" s="32" t="s">
        <v>129</v>
      </c>
      <c r="H1" s="65"/>
    </row>
    <row r="3" spans="2:13" x14ac:dyDescent="0.2">
      <c r="B3" s="88" t="s">
        <v>130</v>
      </c>
    </row>
    <row r="4" spans="2:13" x14ac:dyDescent="0.2">
      <c r="G4" s="66"/>
      <c r="H4" s="66"/>
      <c r="I4" s="66"/>
      <c r="J4" s="66"/>
      <c r="K4" s="66"/>
    </row>
    <row r="5" spans="2:13" s="67" customFormat="1" ht="34.5" customHeight="1" x14ac:dyDescent="0.2">
      <c r="B5" s="761" t="s">
        <v>131</v>
      </c>
      <c r="C5" s="762" t="s">
        <v>132</v>
      </c>
      <c r="D5" s="763" t="s">
        <v>133</v>
      </c>
      <c r="E5" s="1167" t="s">
        <v>134</v>
      </c>
      <c r="F5" s="1168"/>
      <c r="G5" s="764" t="s">
        <v>135</v>
      </c>
      <c r="H5" s="765" t="s">
        <v>136</v>
      </c>
      <c r="I5" s="766" t="s">
        <v>137</v>
      </c>
      <c r="J5" s="767" t="s">
        <v>138</v>
      </c>
      <c r="K5" s="767" t="s">
        <v>139</v>
      </c>
    </row>
    <row r="6" spans="2:13" x14ac:dyDescent="0.2">
      <c r="B6" s="768">
        <v>44561</v>
      </c>
      <c r="C6" s="769" t="s">
        <v>142</v>
      </c>
      <c r="D6" s="770">
        <v>0</v>
      </c>
      <c r="E6" s="771" t="s">
        <v>141</v>
      </c>
      <c r="F6" s="772"/>
      <c r="G6" s="68">
        <f>IF(AND(B6&lt;&gt;"",WEEKDAY(B6,2)&lt;6),(8.4-D6*24)/24,0)</f>
        <v>0.35000000000000003</v>
      </c>
      <c r="H6" s="69">
        <f>G6</f>
        <v>0.35000000000000003</v>
      </c>
      <c r="I6" s="70">
        <f t="shared" ref="I6:I19" si="0">IF(ISERROR(VLOOKUP(B6,Ferienanspruch,3)/100),0,VLOOKUP(B6,Ferienanspruch,3)/100)</f>
        <v>1</v>
      </c>
      <c r="J6" s="71">
        <f t="shared" ref="J6:J19" si="1">G6*I6</f>
        <v>0.35000000000000003</v>
      </c>
      <c r="K6" s="71">
        <f>J6</f>
        <v>0.35000000000000003</v>
      </c>
      <c r="M6" s="88"/>
    </row>
    <row r="7" spans="2:13" x14ac:dyDescent="0.2">
      <c r="B7" s="768">
        <v>44561</v>
      </c>
      <c r="C7" s="769" t="s">
        <v>145</v>
      </c>
      <c r="D7" s="770">
        <v>0</v>
      </c>
      <c r="E7" s="771" t="s">
        <v>143</v>
      </c>
      <c r="F7" s="772"/>
      <c r="G7" s="68">
        <f t="shared" ref="G7:G19" si="2">IF(AND(B7&lt;&gt;"",WEEKDAY(B7,2)&lt;6),(8.4-D7*24)/24,0)</f>
        <v>0.35000000000000003</v>
      </c>
      <c r="H7" s="69">
        <f t="shared" ref="H7:H19" si="3">H6+G7</f>
        <v>0.70000000000000007</v>
      </c>
      <c r="I7" s="70">
        <f t="shared" si="0"/>
        <v>1</v>
      </c>
      <c r="J7" s="71">
        <f t="shared" si="1"/>
        <v>0.35000000000000003</v>
      </c>
      <c r="K7" s="71">
        <f t="shared" ref="K7:K24" si="4">K6+J7</f>
        <v>0.70000000000000007</v>
      </c>
    </row>
    <row r="8" spans="2:13" x14ac:dyDescent="0.2">
      <c r="B8" s="768">
        <v>44652</v>
      </c>
      <c r="C8" s="769" t="s">
        <v>142</v>
      </c>
      <c r="D8" s="770">
        <v>0.26666666666666666</v>
      </c>
      <c r="E8" s="773" t="s">
        <v>144</v>
      </c>
      <c r="F8" s="772"/>
      <c r="G8" s="68">
        <f>IF(AND(B8&lt;&gt;"",WEEKDAY(B8,2)&lt;6),(8.4-D8*24)/24,0)</f>
        <v>8.3333333333333329E-2</v>
      </c>
      <c r="H8" s="774" t="e">
        <f>#REF!+G8</f>
        <v>#REF!</v>
      </c>
      <c r="I8" s="775">
        <f>IF(ISERROR(VLOOKUP(B8,Ferienanspruch,3)/100),0,VLOOKUP(B8,Ferienanspruch,3)/100)</f>
        <v>1</v>
      </c>
      <c r="J8" s="776">
        <f>G8*I8</f>
        <v>8.3333333333333329E-2</v>
      </c>
      <c r="K8" s="71">
        <f t="shared" si="4"/>
        <v>0.78333333333333344</v>
      </c>
    </row>
    <row r="9" spans="2:13" x14ac:dyDescent="0.2">
      <c r="B9" s="768">
        <v>44653</v>
      </c>
      <c r="C9" s="769" t="s">
        <v>145</v>
      </c>
      <c r="D9" s="770">
        <v>0</v>
      </c>
      <c r="E9" s="773" t="s">
        <v>146</v>
      </c>
      <c r="F9" s="772"/>
      <c r="G9" s="68">
        <f t="shared" si="2"/>
        <v>0.35000000000000003</v>
      </c>
      <c r="H9" s="774">
        <f>H7+G9</f>
        <v>1.05</v>
      </c>
      <c r="I9" s="775">
        <f t="shared" si="0"/>
        <v>1</v>
      </c>
      <c r="J9" s="776">
        <f t="shared" si="1"/>
        <v>0.35000000000000003</v>
      </c>
      <c r="K9" s="71">
        <f t="shared" si="4"/>
        <v>1.1333333333333335</v>
      </c>
    </row>
    <row r="10" spans="2:13" x14ac:dyDescent="0.2">
      <c r="B10" s="768">
        <v>44656</v>
      </c>
      <c r="C10" s="769" t="s">
        <v>147</v>
      </c>
      <c r="D10" s="770" t="s">
        <v>89</v>
      </c>
      <c r="E10" s="773" t="s">
        <v>148</v>
      </c>
      <c r="F10" s="772"/>
      <c r="G10" s="68">
        <f t="shared" si="2"/>
        <v>0.35000000000000003</v>
      </c>
      <c r="H10" s="774">
        <f t="shared" si="3"/>
        <v>1.4000000000000001</v>
      </c>
      <c r="I10" s="775">
        <f t="shared" si="0"/>
        <v>1</v>
      </c>
      <c r="J10" s="776">
        <f t="shared" si="1"/>
        <v>0.35000000000000003</v>
      </c>
      <c r="K10" s="71">
        <f t="shared" si="4"/>
        <v>1.4833333333333336</v>
      </c>
    </row>
    <row r="11" spans="2:13" x14ac:dyDescent="0.2">
      <c r="B11" s="768">
        <v>44681</v>
      </c>
      <c r="C11" s="769" t="s">
        <v>145</v>
      </c>
      <c r="D11" s="770" t="s">
        <v>89</v>
      </c>
      <c r="E11" s="771" t="s">
        <v>149</v>
      </c>
      <c r="F11" s="772"/>
      <c r="G11" s="68">
        <f t="shared" si="2"/>
        <v>0.35000000000000003</v>
      </c>
      <c r="H11" s="774" t="e">
        <f>H8+G11</f>
        <v>#REF!</v>
      </c>
      <c r="I11" s="775">
        <f t="shared" si="0"/>
        <v>1</v>
      </c>
      <c r="J11" s="776">
        <f t="shared" si="1"/>
        <v>0.35000000000000003</v>
      </c>
      <c r="K11" s="71">
        <f>K10+J11</f>
        <v>1.8333333333333337</v>
      </c>
    </row>
    <row r="12" spans="2:13" x14ac:dyDescent="0.2">
      <c r="B12" s="768">
        <v>44693</v>
      </c>
      <c r="C12" s="777" t="s">
        <v>140</v>
      </c>
      <c r="D12" s="770">
        <v>0.26666666666666666</v>
      </c>
      <c r="E12" s="771" t="s">
        <v>150</v>
      </c>
      <c r="F12" s="772"/>
      <c r="G12" s="68">
        <f t="shared" si="2"/>
        <v>8.3333333333333329E-2</v>
      </c>
      <c r="H12" s="774" t="e">
        <f t="shared" si="3"/>
        <v>#REF!</v>
      </c>
      <c r="I12" s="775">
        <f t="shared" si="0"/>
        <v>1</v>
      </c>
      <c r="J12" s="776">
        <f t="shared" si="1"/>
        <v>8.3333333333333329E-2</v>
      </c>
      <c r="K12" s="71">
        <f t="shared" si="4"/>
        <v>1.916666666666667</v>
      </c>
    </row>
    <row r="13" spans="2:13" x14ac:dyDescent="0.2">
      <c r="B13" s="768">
        <v>44694</v>
      </c>
      <c r="C13" s="777" t="s">
        <v>142</v>
      </c>
      <c r="D13" s="770" t="s">
        <v>89</v>
      </c>
      <c r="E13" s="771" t="s">
        <v>151</v>
      </c>
      <c r="F13" s="772"/>
      <c r="G13" s="68">
        <f t="shared" si="2"/>
        <v>0.35000000000000003</v>
      </c>
      <c r="H13" s="774" t="e">
        <f t="shared" si="3"/>
        <v>#REF!</v>
      </c>
      <c r="I13" s="775">
        <f t="shared" si="0"/>
        <v>1</v>
      </c>
      <c r="J13" s="776">
        <f t="shared" si="1"/>
        <v>0.35000000000000003</v>
      </c>
      <c r="K13" s="71">
        <f t="shared" si="4"/>
        <v>2.2666666666666671</v>
      </c>
    </row>
    <row r="14" spans="2:13" x14ac:dyDescent="0.2">
      <c r="B14" s="768">
        <v>44705</v>
      </c>
      <c r="C14" s="777" t="s">
        <v>147</v>
      </c>
      <c r="D14" s="770" t="s">
        <v>89</v>
      </c>
      <c r="E14" s="771" t="s">
        <v>152</v>
      </c>
      <c r="F14" s="772"/>
      <c r="G14" s="68">
        <f t="shared" si="2"/>
        <v>0.35000000000000003</v>
      </c>
      <c r="H14" s="774" t="e">
        <f t="shared" si="3"/>
        <v>#REF!</v>
      </c>
      <c r="I14" s="775">
        <f t="shared" si="0"/>
        <v>1</v>
      </c>
      <c r="J14" s="776">
        <f>G14*I14</f>
        <v>0.35000000000000003</v>
      </c>
      <c r="K14" s="71">
        <f t="shared" si="4"/>
        <v>2.6166666666666671</v>
      </c>
    </row>
    <row r="15" spans="2:13" x14ac:dyDescent="0.2">
      <c r="B15" s="778">
        <v>44773</v>
      </c>
      <c r="C15" s="769" t="s">
        <v>473</v>
      </c>
      <c r="D15" s="770" t="s">
        <v>89</v>
      </c>
      <c r="E15" s="771" t="s">
        <v>153</v>
      </c>
      <c r="F15" s="772"/>
      <c r="G15" s="68">
        <f t="shared" si="2"/>
        <v>0</v>
      </c>
      <c r="H15" s="69" t="e">
        <f t="shared" si="3"/>
        <v>#REF!</v>
      </c>
      <c r="I15" s="775">
        <f t="shared" si="0"/>
        <v>1</v>
      </c>
      <c r="J15" s="71">
        <f t="shared" si="1"/>
        <v>0</v>
      </c>
      <c r="K15" s="71">
        <f t="shared" si="4"/>
        <v>2.6166666666666671</v>
      </c>
    </row>
    <row r="16" spans="2:13" x14ac:dyDescent="0.2">
      <c r="B16" s="768">
        <v>44918</v>
      </c>
      <c r="C16" s="769" t="s">
        <v>142</v>
      </c>
      <c r="D16" s="770">
        <v>0.17500000000000002</v>
      </c>
      <c r="E16" s="771" t="s">
        <v>154</v>
      </c>
      <c r="F16" s="772"/>
      <c r="G16" s="68">
        <f t="shared" si="2"/>
        <v>0.17500000000000002</v>
      </c>
      <c r="H16" s="69" t="e">
        <f>#REF!+G16</f>
        <v>#REF!</v>
      </c>
      <c r="I16" s="70">
        <f t="shared" si="0"/>
        <v>1</v>
      </c>
      <c r="J16" s="71">
        <f t="shared" si="1"/>
        <v>0.17500000000000002</v>
      </c>
      <c r="K16" s="71">
        <f>K15+J16</f>
        <v>2.791666666666667</v>
      </c>
    </row>
    <row r="17" spans="2:11" x14ac:dyDescent="0.2">
      <c r="B17" s="768">
        <v>44919</v>
      </c>
      <c r="C17" s="769" t="s">
        <v>145</v>
      </c>
      <c r="D17" s="770" t="s">
        <v>89</v>
      </c>
      <c r="E17" s="771" t="s">
        <v>155</v>
      </c>
      <c r="F17" s="772"/>
      <c r="G17" s="68">
        <f t="shared" si="2"/>
        <v>0.35000000000000003</v>
      </c>
      <c r="H17" s="72" t="e">
        <f t="shared" si="3"/>
        <v>#REF!</v>
      </c>
      <c r="I17" s="73">
        <f t="shared" si="0"/>
        <v>1</v>
      </c>
      <c r="J17" s="74">
        <f t="shared" si="1"/>
        <v>0.35000000000000003</v>
      </c>
      <c r="K17" s="71">
        <f t="shared" si="4"/>
        <v>3.1416666666666671</v>
      </c>
    </row>
    <row r="18" spans="2:11" x14ac:dyDescent="0.2">
      <c r="B18" s="768">
        <v>44920</v>
      </c>
      <c r="C18" s="769" t="s">
        <v>473</v>
      </c>
      <c r="D18" s="770" t="s">
        <v>89</v>
      </c>
      <c r="E18" s="773" t="s">
        <v>156</v>
      </c>
      <c r="F18" s="779"/>
      <c r="G18" s="68">
        <f t="shared" si="2"/>
        <v>0</v>
      </c>
      <c r="H18" s="774" t="e">
        <f t="shared" si="3"/>
        <v>#REF!</v>
      </c>
      <c r="I18" s="775">
        <f t="shared" si="0"/>
        <v>1</v>
      </c>
      <c r="J18" s="776">
        <f t="shared" si="1"/>
        <v>0</v>
      </c>
      <c r="K18" s="71">
        <f t="shared" si="4"/>
        <v>3.1416666666666671</v>
      </c>
    </row>
    <row r="19" spans="2:11" x14ac:dyDescent="0.2">
      <c r="B19" s="768">
        <v>44925</v>
      </c>
      <c r="C19" s="769" t="s">
        <v>142</v>
      </c>
      <c r="D19" s="770">
        <v>0.17500000000000002</v>
      </c>
      <c r="E19" s="771" t="s">
        <v>157</v>
      </c>
      <c r="F19" s="772"/>
      <c r="G19" s="68">
        <f t="shared" si="2"/>
        <v>0.17500000000000002</v>
      </c>
      <c r="H19" s="69" t="e">
        <f t="shared" si="3"/>
        <v>#REF!</v>
      </c>
      <c r="I19" s="70">
        <f t="shared" si="0"/>
        <v>1</v>
      </c>
      <c r="J19" s="71">
        <f t="shared" si="1"/>
        <v>0.17500000000000002</v>
      </c>
      <c r="K19" s="71">
        <f t="shared" si="4"/>
        <v>3.3166666666666669</v>
      </c>
    </row>
    <row r="20" spans="2:11" x14ac:dyDescent="0.2">
      <c r="B20" s="768"/>
      <c r="C20" s="777" t="str">
        <f t="shared" ref="C20:C28" si="5">IF(B20="","",B20)</f>
        <v/>
      </c>
      <c r="D20" s="770"/>
      <c r="E20" s="771"/>
      <c r="F20" s="772"/>
      <c r="G20" s="68">
        <f t="shared" ref="G20:G27" si="6">IF(AND(B20&lt;&gt;"",WEEKDAY(B20,2)&lt;6),(8.4-D20*24)/24,0)</f>
        <v>0</v>
      </c>
      <c r="H20" s="69" t="e">
        <f t="shared" ref="H20:H27" si="7">H19+G20</f>
        <v>#REF!</v>
      </c>
      <c r="I20" s="70">
        <f t="shared" ref="I20:I27" si="8">IF(ISERROR(VLOOKUP(B20,Ferienanspruch,3)/100),0,VLOOKUP(B20,Ferienanspruch,3)/100)</f>
        <v>0</v>
      </c>
      <c r="J20" s="71">
        <f t="shared" ref="J20:J27" si="9">G20*I20</f>
        <v>0</v>
      </c>
      <c r="K20" s="71">
        <f t="shared" si="4"/>
        <v>3.3166666666666669</v>
      </c>
    </row>
    <row r="21" spans="2:11" x14ac:dyDescent="0.2">
      <c r="B21" s="768"/>
      <c r="C21" s="777" t="str">
        <f t="shared" si="5"/>
        <v/>
      </c>
      <c r="D21" s="770"/>
      <c r="E21" s="1165"/>
      <c r="F21" s="1166"/>
      <c r="G21" s="68">
        <f t="shared" si="6"/>
        <v>0</v>
      </c>
      <c r="H21" s="69" t="e">
        <f t="shared" si="7"/>
        <v>#REF!</v>
      </c>
      <c r="I21" s="70">
        <f t="shared" si="8"/>
        <v>0</v>
      </c>
      <c r="J21" s="71">
        <f t="shared" si="9"/>
        <v>0</v>
      </c>
      <c r="K21" s="71">
        <f t="shared" si="4"/>
        <v>3.3166666666666669</v>
      </c>
    </row>
    <row r="22" spans="2:11" x14ac:dyDescent="0.2">
      <c r="B22" s="768"/>
      <c r="C22" s="777" t="str">
        <f t="shared" si="5"/>
        <v/>
      </c>
      <c r="D22" s="770"/>
      <c r="E22" s="1165"/>
      <c r="F22" s="1166"/>
      <c r="G22" s="68">
        <f t="shared" si="6"/>
        <v>0</v>
      </c>
      <c r="H22" s="69" t="e">
        <f t="shared" si="7"/>
        <v>#REF!</v>
      </c>
      <c r="I22" s="70">
        <f t="shared" si="8"/>
        <v>0</v>
      </c>
      <c r="J22" s="71">
        <f t="shared" si="9"/>
        <v>0</v>
      </c>
      <c r="K22" s="71">
        <f t="shared" si="4"/>
        <v>3.3166666666666669</v>
      </c>
    </row>
    <row r="23" spans="2:11" x14ac:dyDescent="0.2">
      <c r="B23" s="768"/>
      <c r="C23" s="777" t="str">
        <f t="shared" si="5"/>
        <v/>
      </c>
      <c r="D23" s="770"/>
      <c r="E23" s="771"/>
      <c r="F23" s="772"/>
      <c r="G23" s="68">
        <f t="shared" si="6"/>
        <v>0</v>
      </c>
      <c r="H23" s="69" t="e">
        <f t="shared" si="7"/>
        <v>#REF!</v>
      </c>
      <c r="I23" s="70">
        <f t="shared" si="8"/>
        <v>0</v>
      </c>
      <c r="J23" s="71">
        <f t="shared" si="9"/>
        <v>0</v>
      </c>
      <c r="K23" s="71">
        <f t="shared" si="4"/>
        <v>3.3166666666666669</v>
      </c>
    </row>
    <row r="24" spans="2:11" x14ac:dyDescent="0.2">
      <c r="B24" s="768"/>
      <c r="C24" s="777" t="str">
        <f t="shared" si="5"/>
        <v/>
      </c>
      <c r="D24" s="770"/>
      <c r="E24" s="771"/>
      <c r="F24" s="772"/>
      <c r="G24" s="68">
        <f t="shared" si="6"/>
        <v>0</v>
      </c>
      <c r="H24" s="69" t="e">
        <f t="shared" si="7"/>
        <v>#REF!</v>
      </c>
      <c r="I24" s="70">
        <f t="shared" si="8"/>
        <v>0</v>
      </c>
      <c r="J24" s="71">
        <f t="shared" si="9"/>
        <v>0</v>
      </c>
      <c r="K24" s="71">
        <f t="shared" si="4"/>
        <v>3.3166666666666669</v>
      </c>
    </row>
    <row r="25" spans="2:11" x14ac:dyDescent="0.2">
      <c r="B25" s="768"/>
      <c r="C25" s="777" t="str">
        <f t="shared" si="5"/>
        <v/>
      </c>
      <c r="D25" s="770"/>
      <c r="E25" s="771"/>
      <c r="F25" s="772"/>
      <c r="G25" s="68">
        <f t="shared" si="6"/>
        <v>0</v>
      </c>
      <c r="H25" s="69" t="e">
        <f t="shared" si="7"/>
        <v>#REF!</v>
      </c>
      <c r="I25" s="70">
        <f t="shared" si="8"/>
        <v>0</v>
      </c>
      <c r="J25" s="71">
        <f t="shared" si="9"/>
        <v>0</v>
      </c>
      <c r="K25" s="71">
        <f>K24+J25</f>
        <v>3.3166666666666669</v>
      </c>
    </row>
    <row r="26" spans="2:11" x14ac:dyDescent="0.2">
      <c r="B26" s="768"/>
      <c r="C26" s="777" t="str">
        <f t="shared" si="5"/>
        <v/>
      </c>
      <c r="D26" s="770"/>
      <c r="E26" s="771"/>
      <c r="F26" s="772"/>
      <c r="G26" s="68">
        <f t="shared" si="6"/>
        <v>0</v>
      </c>
      <c r="H26" s="69" t="e">
        <f t="shared" si="7"/>
        <v>#REF!</v>
      </c>
      <c r="I26" s="70">
        <f t="shared" si="8"/>
        <v>0</v>
      </c>
      <c r="J26" s="71">
        <f t="shared" si="9"/>
        <v>0</v>
      </c>
      <c r="K26" s="71">
        <f>K25+J26</f>
        <v>3.3166666666666669</v>
      </c>
    </row>
    <row r="27" spans="2:11" x14ac:dyDescent="0.2">
      <c r="B27" s="768"/>
      <c r="C27" s="777" t="str">
        <f t="shared" si="5"/>
        <v/>
      </c>
      <c r="D27" s="770"/>
      <c r="E27" s="1165"/>
      <c r="F27" s="1166"/>
      <c r="G27" s="68">
        <f t="shared" si="6"/>
        <v>0</v>
      </c>
      <c r="H27" s="69" t="e">
        <f t="shared" si="7"/>
        <v>#REF!</v>
      </c>
      <c r="I27" s="70">
        <f t="shared" si="8"/>
        <v>0</v>
      </c>
      <c r="J27" s="71">
        <f t="shared" si="9"/>
        <v>0</v>
      </c>
      <c r="K27" s="71">
        <f>K26+J27</f>
        <v>3.3166666666666669</v>
      </c>
    </row>
    <row r="28" spans="2:11" x14ac:dyDescent="0.2">
      <c r="B28" s="75"/>
      <c r="C28" s="76" t="str">
        <f t="shared" si="5"/>
        <v/>
      </c>
      <c r="D28" s="77"/>
      <c r="E28" s="78"/>
      <c r="G28" s="77"/>
      <c r="H28" s="79"/>
      <c r="I28" s="80"/>
      <c r="J28" s="81"/>
      <c r="K28" s="82">
        <f>K27+J28</f>
        <v>3.3166666666666669</v>
      </c>
    </row>
    <row r="29" spans="2:11" x14ac:dyDescent="0.2">
      <c r="K29" s="780"/>
    </row>
    <row r="31" spans="2:11" x14ac:dyDescent="0.2">
      <c r="B31" s="732"/>
    </row>
  </sheetData>
  <sheetProtection algorithmName="SHA-512" hashValue="ID3B2iZfVtSFb6O7E1ozZWHMGeIqK30VkEf4wRBpUO83pjNRZp2LlxhsOw5y/HIbFxyCvGywE059xX7CSv7uwg==" saltValue="k2I6pGyfOguEO2r7yy1BAQ==" spinCount="100000" sheet="1" selectLockedCells="1" selectUnlockedCells="1"/>
  <mergeCells count="4">
    <mergeCell ref="E27:F27"/>
    <mergeCell ref="E21:F21"/>
    <mergeCell ref="E22:F22"/>
    <mergeCell ref="E5:F5"/>
  </mergeCells>
  <phoneticPr fontId="9" type="noConversion"/>
  <conditionalFormatting sqref="G6:K27">
    <cfRule type="cellIs" dxfId="316" priority="1" stopIfTrue="1" operator="equal">
      <formula>0</formula>
    </cfRule>
  </conditionalFormatting>
  <printOptions horizontalCentered="1" verticalCentered="1"/>
  <pageMargins left="0.70866141732283472" right="0.70866141732283472" top="0.78740157480314965" bottom="0.78740157480314965" header="0.31496062992125984" footer="0.31496062992125984"/>
  <pageSetup paperSize="9" orientation="landscape" r:id="rId1"/>
  <headerFooter>
    <oddFooter>&amp;LDatum/Unterschrift MA:&amp;CDatum/Unterschrift Vorges.:&amp;RAusdruck vom &amp;D</oddFooter>
  </headerFooter>
  <colBreaks count="1" manualBreakCount="1">
    <brk id="11" max="1048575" man="1"/>
  </colBreaks>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autoPageBreaks="0" fitToPage="1"/>
  </sheetPr>
  <dimension ref="A1:L29"/>
  <sheetViews>
    <sheetView showGridLines="0" showRowColHeaders="0" showOutlineSymbols="0" workbookViewId="0">
      <pane ySplit="1" topLeftCell="A2" activePane="bottomLeft" state="frozen"/>
      <selection pane="bottomLeft" activeCell="B7" sqref="B7:C7"/>
    </sheetView>
  </sheetViews>
  <sheetFormatPr baseColWidth="10" defaultColWidth="11.42578125" defaultRowHeight="12.75" x14ac:dyDescent="0.2"/>
  <cols>
    <col min="1" max="16384" width="11.42578125" style="8"/>
  </cols>
  <sheetData>
    <row r="1" spans="1:12" s="33" customFormat="1" ht="20.25" x14ac:dyDescent="0.3">
      <c r="B1" s="32" t="s">
        <v>158</v>
      </c>
    </row>
    <row r="4" spans="1:12" x14ac:dyDescent="0.2">
      <c r="B4" s="34" t="s">
        <v>159</v>
      </c>
      <c r="K4" s="781"/>
    </row>
    <row r="6" spans="1:12" x14ac:dyDescent="0.2">
      <c r="B6" s="1179" t="s">
        <v>160</v>
      </c>
      <c r="C6" s="1179"/>
      <c r="E6" s="1181" t="s">
        <v>161</v>
      </c>
      <c r="F6" s="1181"/>
      <c r="H6" s="1180" t="s">
        <v>162</v>
      </c>
      <c r="I6" s="1180"/>
      <c r="K6" s="1176" t="s">
        <v>163</v>
      </c>
      <c r="L6" s="1176"/>
    </row>
    <row r="7" spans="1:12" s="83" customFormat="1" x14ac:dyDescent="0.2">
      <c r="A7" s="782"/>
      <c r="B7" s="1177"/>
      <c r="C7" s="1178"/>
      <c r="D7" s="782"/>
      <c r="E7" s="1177"/>
      <c r="F7" s="1178"/>
      <c r="G7" s="782"/>
      <c r="H7" s="1177"/>
      <c r="I7" s="1178"/>
      <c r="J7" s="782"/>
      <c r="K7" s="1177" t="s">
        <v>164</v>
      </c>
      <c r="L7" s="1178"/>
    </row>
    <row r="8" spans="1:12" x14ac:dyDescent="0.2">
      <c r="B8" s="84"/>
      <c r="C8" s="84"/>
      <c r="E8" s="84"/>
      <c r="F8" s="84"/>
      <c r="H8" s="717"/>
      <c r="I8" s="717"/>
      <c r="K8" s="717"/>
      <c r="L8" s="717"/>
    </row>
    <row r="9" spans="1:12" x14ac:dyDescent="0.2">
      <c r="A9" s="85" t="s">
        <v>165</v>
      </c>
      <c r="B9" s="1169"/>
      <c r="C9" s="1170"/>
      <c r="D9" s="85" t="s">
        <v>166</v>
      </c>
      <c r="E9" s="1169"/>
      <c r="F9" s="1170"/>
      <c r="G9" s="85" t="s">
        <v>167</v>
      </c>
      <c r="H9" s="1169"/>
      <c r="I9" s="1170"/>
      <c r="J9" s="85" t="s">
        <v>168</v>
      </c>
      <c r="K9" s="783" t="s">
        <v>169</v>
      </c>
      <c r="L9" s="784"/>
    </row>
    <row r="10" spans="1:12" x14ac:dyDescent="0.2">
      <c r="A10" s="85" t="s">
        <v>170</v>
      </c>
      <c r="B10" s="1169"/>
      <c r="C10" s="1170"/>
      <c r="D10" s="85" t="s">
        <v>171</v>
      </c>
      <c r="E10" s="1169"/>
      <c r="F10" s="1170"/>
      <c r="G10" s="85" t="s">
        <v>172</v>
      </c>
      <c r="H10" s="1169"/>
      <c r="I10" s="1170"/>
      <c r="J10" s="85" t="s">
        <v>173</v>
      </c>
      <c r="K10" s="1169" t="s">
        <v>174</v>
      </c>
      <c r="L10" s="1170"/>
    </row>
    <row r="11" spans="1:12" x14ac:dyDescent="0.2">
      <c r="A11" s="85" t="s">
        <v>175</v>
      </c>
      <c r="B11" s="1169"/>
      <c r="C11" s="1170"/>
      <c r="D11" s="85" t="s">
        <v>176</v>
      </c>
      <c r="E11" s="1169"/>
      <c r="F11" s="1170"/>
      <c r="G11" s="85" t="s">
        <v>177</v>
      </c>
      <c r="H11" s="1169"/>
      <c r="I11" s="1170"/>
      <c r="J11" s="85" t="s">
        <v>178</v>
      </c>
      <c r="K11" s="1169"/>
      <c r="L11" s="1170"/>
    </row>
    <row r="12" spans="1:12" x14ac:dyDescent="0.2">
      <c r="A12" s="85" t="s">
        <v>179</v>
      </c>
      <c r="B12" s="1169"/>
      <c r="C12" s="1170"/>
      <c r="D12" s="85" t="s">
        <v>180</v>
      </c>
      <c r="E12" s="1169"/>
      <c r="F12" s="1170"/>
      <c r="G12" s="85" t="s">
        <v>181</v>
      </c>
      <c r="H12" s="1169"/>
      <c r="I12" s="1170"/>
      <c r="J12" s="85" t="s">
        <v>182</v>
      </c>
      <c r="K12" s="1169"/>
      <c r="L12" s="1170"/>
    </row>
    <row r="13" spans="1:12" x14ac:dyDescent="0.2">
      <c r="A13" s="85" t="s">
        <v>183</v>
      </c>
      <c r="B13" s="1169"/>
      <c r="C13" s="1170"/>
      <c r="D13" s="85" t="s">
        <v>184</v>
      </c>
      <c r="E13" s="1169"/>
      <c r="F13" s="1170"/>
      <c r="G13" s="85" t="s">
        <v>185</v>
      </c>
      <c r="H13" s="1169"/>
      <c r="I13" s="1170"/>
      <c r="J13" s="85" t="s">
        <v>186</v>
      </c>
      <c r="K13" s="1169"/>
      <c r="L13" s="1170"/>
    </row>
    <row r="14" spans="1:12" x14ac:dyDescent="0.2">
      <c r="A14" s="85" t="s">
        <v>187</v>
      </c>
      <c r="B14" s="1169"/>
      <c r="C14" s="1170"/>
      <c r="D14" s="85" t="s">
        <v>188</v>
      </c>
      <c r="E14" s="1169"/>
      <c r="F14" s="1170"/>
      <c r="G14" s="85" t="s">
        <v>189</v>
      </c>
      <c r="H14" s="1169"/>
      <c r="I14" s="1170"/>
      <c r="J14" s="85" t="s">
        <v>190</v>
      </c>
      <c r="K14" s="1169"/>
      <c r="L14" s="1170"/>
    </row>
    <row r="15" spans="1:12" x14ac:dyDescent="0.2">
      <c r="A15" s="85" t="s">
        <v>191</v>
      </c>
      <c r="B15" s="1169"/>
      <c r="C15" s="1170"/>
      <c r="D15" s="85" t="s">
        <v>192</v>
      </c>
      <c r="E15" s="1169"/>
      <c r="F15" s="1170"/>
      <c r="G15" s="85" t="s">
        <v>193</v>
      </c>
      <c r="H15" s="1169"/>
      <c r="I15" s="1170"/>
      <c r="J15" s="85" t="s">
        <v>194</v>
      </c>
      <c r="K15" s="1169"/>
      <c r="L15" s="1170"/>
    </row>
    <row r="16" spans="1:12" x14ac:dyDescent="0.2">
      <c r="A16" s="85" t="s">
        <v>195</v>
      </c>
      <c r="B16" s="1169"/>
      <c r="C16" s="1170"/>
      <c r="D16" s="85" t="s">
        <v>196</v>
      </c>
      <c r="E16" s="1169"/>
      <c r="F16" s="1170"/>
      <c r="G16" s="85" t="s">
        <v>197</v>
      </c>
      <c r="H16" s="1169"/>
      <c r="I16" s="1170"/>
      <c r="J16" s="85" t="s">
        <v>198</v>
      </c>
      <c r="K16" s="1169"/>
      <c r="L16" s="1170"/>
    </row>
    <row r="17" spans="1:12" x14ac:dyDescent="0.2">
      <c r="A17" s="85" t="s">
        <v>199</v>
      </c>
      <c r="B17" s="1169"/>
      <c r="C17" s="1170"/>
      <c r="D17" s="85" t="s">
        <v>200</v>
      </c>
      <c r="E17" s="1169"/>
      <c r="F17" s="1170"/>
      <c r="J17" s="85"/>
    </row>
    <row r="18" spans="1:12" x14ac:dyDescent="0.2">
      <c r="A18" s="85" t="s">
        <v>108</v>
      </c>
      <c r="B18" s="1169"/>
      <c r="C18" s="1170"/>
      <c r="D18" s="85" t="s">
        <v>128</v>
      </c>
      <c r="E18" s="1169"/>
      <c r="F18" s="1170"/>
      <c r="J18" s="85"/>
    </row>
    <row r="19" spans="1:12" x14ac:dyDescent="0.2">
      <c r="A19" s="85" t="s">
        <v>201</v>
      </c>
      <c r="B19" s="1169"/>
      <c r="C19" s="1170"/>
      <c r="D19" s="85" t="s">
        <v>202</v>
      </c>
      <c r="E19" s="1169"/>
      <c r="F19" s="1170"/>
      <c r="H19" s="1175" t="s">
        <v>203</v>
      </c>
      <c r="I19" s="1175"/>
      <c r="J19" s="85"/>
      <c r="K19" s="1174" t="s">
        <v>204</v>
      </c>
      <c r="L19" s="1174"/>
    </row>
    <row r="20" spans="1:12" x14ac:dyDescent="0.2">
      <c r="A20" s="85" t="s">
        <v>205</v>
      </c>
      <c r="B20" s="1169"/>
      <c r="C20" s="1170"/>
      <c r="D20" s="85" t="s">
        <v>206</v>
      </c>
      <c r="E20" s="1169"/>
      <c r="F20" s="1170"/>
      <c r="G20" s="85" t="s">
        <v>207</v>
      </c>
      <c r="H20" s="1169"/>
      <c r="I20" s="1170"/>
      <c r="J20" s="85" t="s">
        <v>208</v>
      </c>
      <c r="K20" s="1171" t="s">
        <v>209</v>
      </c>
      <c r="L20" s="1172"/>
    </row>
    <row r="21" spans="1:12" x14ac:dyDescent="0.2">
      <c r="A21" s="85" t="s">
        <v>210</v>
      </c>
      <c r="B21" s="1169"/>
      <c r="C21" s="1170"/>
      <c r="G21" s="85" t="s">
        <v>211</v>
      </c>
      <c r="H21" s="1169"/>
      <c r="I21" s="1170"/>
      <c r="J21" s="85" t="s">
        <v>212</v>
      </c>
      <c r="K21" s="1171" t="s">
        <v>213</v>
      </c>
      <c r="L21" s="1172"/>
    </row>
    <row r="22" spans="1:12" x14ac:dyDescent="0.2">
      <c r="A22" s="85" t="s">
        <v>214</v>
      </c>
      <c r="B22" s="1169"/>
      <c r="C22" s="1170"/>
      <c r="G22" s="85" t="s">
        <v>215</v>
      </c>
      <c r="H22" s="1169"/>
      <c r="I22" s="1170"/>
      <c r="J22" s="85" t="s">
        <v>216</v>
      </c>
      <c r="K22" s="1171" t="s">
        <v>217</v>
      </c>
      <c r="L22" s="1172"/>
    </row>
    <row r="23" spans="1:12" x14ac:dyDescent="0.2">
      <c r="A23" s="85" t="s">
        <v>218</v>
      </c>
      <c r="B23" s="1169"/>
      <c r="C23" s="1170"/>
      <c r="E23" s="1173" t="s">
        <v>219</v>
      </c>
      <c r="F23" s="1173"/>
      <c r="G23" s="85" t="s">
        <v>220</v>
      </c>
      <c r="H23" s="1169"/>
      <c r="I23" s="1170"/>
      <c r="J23" s="85" t="s">
        <v>221</v>
      </c>
      <c r="K23" s="1171" t="s">
        <v>222</v>
      </c>
      <c r="L23" s="1172"/>
    </row>
    <row r="24" spans="1:12" x14ac:dyDescent="0.2">
      <c r="A24" s="85" t="s">
        <v>223</v>
      </c>
      <c r="B24" s="1169"/>
      <c r="C24" s="1170"/>
      <c r="D24" s="85" t="s">
        <v>224</v>
      </c>
      <c r="E24" s="1169"/>
      <c r="F24" s="1170"/>
      <c r="G24" s="85" t="s">
        <v>225</v>
      </c>
      <c r="H24" s="1169"/>
      <c r="I24" s="1170"/>
      <c r="J24" s="85" t="s">
        <v>226</v>
      </c>
      <c r="K24" s="1171" t="s">
        <v>227</v>
      </c>
      <c r="L24" s="1172"/>
    </row>
    <row r="25" spans="1:12" x14ac:dyDescent="0.2">
      <c r="D25" s="85" t="s">
        <v>228</v>
      </c>
      <c r="E25" s="1169"/>
      <c r="F25" s="1170"/>
      <c r="G25" s="85" t="s">
        <v>229</v>
      </c>
      <c r="H25" s="1169"/>
      <c r="I25" s="1170"/>
      <c r="J25" s="85" t="s">
        <v>230</v>
      </c>
      <c r="K25" s="1171" t="s">
        <v>231</v>
      </c>
      <c r="L25" s="1172"/>
    </row>
    <row r="26" spans="1:12" x14ac:dyDescent="0.2">
      <c r="D26" s="85" t="s">
        <v>232</v>
      </c>
      <c r="E26" s="1169"/>
      <c r="F26" s="1170"/>
      <c r="G26" s="85" t="s">
        <v>233</v>
      </c>
      <c r="H26" s="1169"/>
      <c r="I26" s="1170"/>
      <c r="J26" s="85" t="s">
        <v>234</v>
      </c>
      <c r="K26" s="1171" t="s">
        <v>235</v>
      </c>
      <c r="L26" s="1172"/>
    </row>
    <row r="27" spans="1:12" x14ac:dyDescent="0.2">
      <c r="D27" s="85" t="s">
        <v>236</v>
      </c>
      <c r="E27" s="1169"/>
      <c r="F27" s="1170"/>
      <c r="G27" s="85" t="s">
        <v>237</v>
      </c>
      <c r="H27" s="1169"/>
      <c r="I27" s="1170"/>
      <c r="J27" s="85" t="s">
        <v>238</v>
      </c>
      <c r="K27" s="1171" t="s">
        <v>239</v>
      </c>
      <c r="L27" s="1172"/>
    </row>
    <row r="28" spans="1:12" x14ac:dyDescent="0.2">
      <c r="G28" s="85"/>
    </row>
    <row r="29" spans="1:12" x14ac:dyDescent="0.2">
      <c r="G29" s="85"/>
    </row>
  </sheetData>
  <sheetProtection algorithmName="SHA-512" hashValue="PFj8jYwuhw/k0JBwkdFWmUE/kxQtXhBdxE/OlAB/UlEGmM7OHlouGBEZ0zl2R+sU3R0xa89PkYPRl9KHiw9mHg==" saltValue="30GHRC/pVmkSj/i9jxOXkw==" spinCount="100000" sheet="1" selectLockedCells="1"/>
  <mergeCells count="74">
    <mergeCell ref="B6:C6"/>
    <mergeCell ref="B9:C9"/>
    <mergeCell ref="H10:I10"/>
    <mergeCell ref="H11:I11"/>
    <mergeCell ref="H6:I6"/>
    <mergeCell ref="H9:I9"/>
    <mergeCell ref="E6:F6"/>
    <mergeCell ref="E9:F9"/>
    <mergeCell ref="B10:C10"/>
    <mergeCell ref="B11:C11"/>
    <mergeCell ref="B7:C7"/>
    <mergeCell ref="E7:F7"/>
    <mergeCell ref="H7:I7"/>
    <mergeCell ref="E10:F10"/>
    <mergeCell ref="E11:F11"/>
    <mergeCell ref="B24:C24"/>
    <mergeCell ref="B23:C23"/>
    <mergeCell ref="E12:F12"/>
    <mergeCell ref="E13:F13"/>
    <mergeCell ref="E14:F14"/>
    <mergeCell ref="B12:C12"/>
    <mergeCell ref="B16:C16"/>
    <mergeCell ref="E17:F17"/>
    <mergeCell ref="B14:C14"/>
    <mergeCell ref="B13:C13"/>
    <mergeCell ref="B17:C17"/>
    <mergeCell ref="B15:C15"/>
    <mergeCell ref="E15:F15"/>
    <mergeCell ref="E20:F20"/>
    <mergeCell ref="B22:C22"/>
    <mergeCell ref="B21:C21"/>
    <mergeCell ref="H14:I14"/>
    <mergeCell ref="H15:I15"/>
    <mergeCell ref="E16:F16"/>
    <mergeCell ref="K6:L6"/>
    <mergeCell ref="K10:L10"/>
    <mergeCell ref="K11:L11"/>
    <mergeCell ref="K7:L7"/>
    <mergeCell ref="K12:L12"/>
    <mergeCell ref="H12:I12"/>
    <mergeCell ref="K13:L13"/>
    <mergeCell ref="K14:L14"/>
    <mergeCell ref="K15:L15"/>
    <mergeCell ref="H13:I13"/>
    <mergeCell ref="B18:C18"/>
    <mergeCell ref="B19:C19"/>
    <mergeCell ref="B20:C20"/>
    <mergeCell ref="K16:L16"/>
    <mergeCell ref="K19:L19"/>
    <mergeCell ref="K20:L20"/>
    <mergeCell ref="E19:F19"/>
    <mergeCell ref="H19:I19"/>
    <mergeCell ref="H20:I20"/>
    <mergeCell ref="E18:F18"/>
    <mergeCell ref="H16:I16"/>
    <mergeCell ref="K25:L25"/>
    <mergeCell ref="E25:F25"/>
    <mergeCell ref="E23:F23"/>
    <mergeCell ref="H21:I21"/>
    <mergeCell ref="H22:I22"/>
    <mergeCell ref="H24:I24"/>
    <mergeCell ref="H25:I25"/>
    <mergeCell ref="H23:I23"/>
    <mergeCell ref="E24:F24"/>
    <mergeCell ref="K23:L23"/>
    <mergeCell ref="K24:L24"/>
    <mergeCell ref="K22:L22"/>
    <mergeCell ref="K21:L21"/>
    <mergeCell ref="E27:F27"/>
    <mergeCell ref="H27:I27"/>
    <mergeCell ref="K27:L27"/>
    <mergeCell ref="E26:F26"/>
    <mergeCell ref="K26:L26"/>
    <mergeCell ref="H26:I26"/>
  </mergeCells>
  <phoneticPr fontId="9" type="noConversion"/>
  <printOptions horizontalCentered="1" verticalCentered="1"/>
  <pageMargins left="0.70866141732283472" right="0.70866141732283472" top="0.78740157480314965" bottom="0.78740157480314965" header="0.31496062992125984" footer="0.31496062992125984"/>
  <pageSetup paperSize="9" orientation="landscape"/>
  <headerFoot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autoPageBreaks="0" fitToPage="1"/>
  </sheetPr>
  <dimension ref="A1:FC128"/>
  <sheetViews>
    <sheetView showGridLines="0" showRowColHeaders="0" showZeros="0" showOutlineSymbols="0" topLeftCell="C1" workbookViewId="0">
      <pane xSplit="3" ySplit="21" topLeftCell="F22" activePane="bottomRight" state="frozen"/>
      <selection pane="topRight" activeCell="B7" sqref="B7:C7"/>
      <selection pane="bottomLeft" activeCell="B7" sqref="B7:C7"/>
      <selection pane="bottomRight" activeCell="D36" sqref="D36:E36"/>
    </sheetView>
  </sheetViews>
  <sheetFormatPr baseColWidth="10" defaultColWidth="11.42578125" defaultRowHeight="12.75" outlineLevelRow="1" outlineLevelCol="2" x14ac:dyDescent="0.2"/>
  <cols>
    <col min="1" max="2" width="11.42578125" style="13" hidden="1" customWidth="1" outlineLevel="1"/>
    <col min="3" max="3" width="5.7109375" style="13" customWidth="1" collapsed="1"/>
    <col min="4" max="4" width="32" style="87" customWidth="1"/>
    <col min="5" max="5" width="3" style="13" hidden="1" customWidth="1" outlineLevel="1"/>
    <col min="6" max="6" width="13.7109375" style="13" customWidth="1" collapsed="1"/>
    <col min="7" max="18" width="13.7109375" style="13" customWidth="1"/>
    <col min="19" max="19" width="11.85546875" style="13" hidden="1" customWidth="1" outlineLevel="2"/>
    <col min="20" max="23" width="14.42578125" style="13" hidden="1" customWidth="1" outlineLevel="2"/>
    <col min="24" max="24" width="10.85546875" style="13" hidden="1" customWidth="1" outlineLevel="1"/>
    <col min="25" max="25" width="14.42578125" style="13" hidden="1" customWidth="1" outlineLevel="1"/>
    <col min="26" max="26" width="28.28515625" style="311" hidden="1" customWidth="1" outlineLevel="1"/>
    <col min="27" max="29" width="14.42578125" style="13" hidden="1" customWidth="1" outlineLevel="1"/>
    <col min="30" max="30" width="11.42578125" style="13" collapsed="1"/>
    <col min="31" max="16384" width="11.42578125" style="13"/>
  </cols>
  <sheetData>
    <row r="1" spans="1:159" ht="18.75" customHeight="1" thickBot="1" x14ac:dyDescent="0.25">
      <c r="A1" s="13" t="s">
        <v>90</v>
      </c>
      <c r="D1" s="270" t="s">
        <v>240</v>
      </c>
      <c r="F1" s="271"/>
      <c r="G1" s="271"/>
      <c r="H1" s="272"/>
      <c r="I1" s="7"/>
      <c r="J1" s="7"/>
      <c r="K1" s="7"/>
      <c r="L1" s="8"/>
      <c r="M1" s="8"/>
      <c r="N1" s="8"/>
      <c r="O1" s="7"/>
      <c r="P1" s="7"/>
      <c r="Q1" s="7"/>
      <c r="R1" s="8"/>
      <c r="T1" s="8"/>
      <c r="U1" s="8"/>
      <c r="V1" s="8"/>
      <c r="W1" s="8"/>
      <c r="Y1" s="8"/>
      <c r="Z1" s="786" t="s">
        <v>241</v>
      </c>
      <c r="AA1" s="8"/>
      <c r="AB1" s="8"/>
      <c r="AC1" s="8"/>
    </row>
    <row r="2" spans="1:159" s="30" customFormat="1" ht="18.75" customHeight="1" thickBot="1" x14ac:dyDescent="0.25">
      <c r="A2" s="30" t="s">
        <v>91</v>
      </c>
      <c r="B2" s="13"/>
      <c r="C2" s="13"/>
      <c r="D2" s="9" t="str">
        <f>CONCATENATE("Arbeitszeit ",YEAR(ctPersonalangaben!H12)," von ",ctPersonalangaben!D4,", ",ctPersonalangaben!D3)</f>
        <v>Arbeitszeit 2026 von Max Muster, Musterstelle</v>
      </c>
      <c r="E2" s="10"/>
      <c r="F2" s="10"/>
      <c r="G2" s="237"/>
      <c r="H2" s="11"/>
      <c r="I2" s="12"/>
      <c r="J2" s="12"/>
      <c r="K2" s="12"/>
      <c r="L2" s="12"/>
      <c r="M2" s="12"/>
      <c r="N2" s="12"/>
      <c r="O2" s="12"/>
      <c r="P2" s="12"/>
      <c r="Q2" s="12"/>
      <c r="R2" s="273"/>
      <c r="X2" s="30" t="s">
        <v>242</v>
      </c>
      <c r="Y2" s="30" t="s">
        <v>243</v>
      </c>
      <c r="Z2" s="787" t="s">
        <v>244</v>
      </c>
      <c r="AA2" s="30" t="s">
        <v>245</v>
      </c>
      <c r="AB2" s="30" t="s">
        <v>246</v>
      </c>
      <c r="AC2" s="30" t="s">
        <v>247</v>
      </c>
    </row>
    <row r="3" spans="1:159" s="30" customFormat="1" x14ac:dyDescent="0.2">
      <c r="A3" s="13" t="s">
        <v>92</v>
      </c>
      <c r="D3" s="316"/>
      <c r="E3" s="274"/>
      <c r="F3" s="275">
        <f>Januar!E3</f>
        <v>44561</v>
      </c>
      <c r="G3" s="275">
        <f>Februar!F3</f>
        <v>44593</v>
      </c>
      <c r="H3" s="275">
        <f>Maerz!G3</f>
        <v>44622</v>
      </c>
      <c r="I3" s="275">
        <f>April!H3</f>
        <v>44654</v>
      </c>
      <c r="J3" s="275">
        <f>Mai!I3</f>
        <v>44685</v>
      </c>
      <c r="K3" s="275">
        <f>Juni!J3</f>
        <v>44717</v>
      </c>
      <c r="L3" s="275">
        <f>Juli!K3</f>
        <v>44748</v>
      </c>
      <c r="M3" s="275">
        <f>August!L3</f>
        <v>44780</v>
      </c>
      <c r="N3" s="275">
        <f>September!M3</f>
        <v>44812</v>
      </c>
      <c r="O3" s="275">
        <f>Oktober!N3</f>
        <v>44843</v>
      </c>
      <c r="P3" s="275">
        <f>November!O3</f>
        <v>44875</v>
      </c>
      <c r="Q3" s="276">
        <f>Dezember!P3</f>
        <v>44906</v>
      </c>
      <c r="R3" s="277" t="s">
        <v>248</v>
      </c>
      <c r="S3" s="30" t="s">
        <v>249</v>
      </c>
      <c r="T3" s="788" t="s">
        <v>250</v>
      </c>
      <c r="U3" s="788" t="s">
        <v>251</v>
      </c>
      <c r="V3" s="788" t="s">
        <v>252</v>
      </c>
      <c r="W3" s="788" t="s">
        <v>253</v>
      </c>
      <c r="X3" s="15">
        <v>1</v>
      </c>
      <c r="Y3" s="789" t="str">
        <f>BerichtQuelleA</f>
        <v>Gesamtjahr</v>
      </c>
      <c r="Z3" s="790"/>
      <c r="AA3" s="789" t="str">
        <f>BerichtQuelleB</f>
        <v>Gesamtjahr</v>
      </c>
      <c r="AB3" s="789" t="str">
        <f>BerichtQuelleD</f>
        <v>Gesamtjahr</v>
      </c>
      <c r="AC3" s="789" t="str">
        <f>BerichtQuelleF</f>
        <v>Gesamtjahr</v>
      </c>
    </row>
    <row r="4" spans="1:159" s="30" customFormat="1" ht="19.5" hidden="1" customHeight="1" outlineLevel="1" x14ac:dyDescent="0.2">
      <c r="A4" s="30" t="s">
        <v>93</v>
      </c>
      <c r="D4" s="317"/>
      <c r="E4" s="278" t="s">
        <v>254</v>
      </c>
      <c r="F4" s="279">
        <v>1</v>
      </c>
      <c r="G4" s="279">
        <v>2</v>
      </c>
      <c r="H4" s="279">
        <v>3</v>
      </c>
      <c r="I4" s="279">
        <v>4</v>
      </c>
      <c r="J4" s="279">
        <v>5</v>
      </c>
      <c r="K4" s="279">
        <v>6</v>
      </c>
      <c r="L4" s="279">
        <v>7</v>
      </c>
      <c r="M4" s="279">
        <v>8</v>
      </c>
      <c r="N4" s="279">
        <v>9</v>
      </c>
      <c r="O4" s="279">
        <v>10</v>
      </c>
      <c r="P4" s="279">
        <v>11</v>
      </c>
      <c r="Q4" s="279">
        <v>12</v>
      </c>
      <c r="R4" s="280"/>
      <c r="T4" s="281"/>
      <c r="U4" s="282"/>
      <c r="V4" s="282"/>
      <c r="W4" s="283"/>
      <c r="X4" s="15">
        <v>2</v>
      </c>
      <c r="Y4" s="282">
        <f>T4</f>
        <v>0</v>
      </c>
      <c r="Z4" s="282"/>
      <c r="AA4" s="282"/>
      <c r="AB4" s="282"/>
      <c r="AC4" s="282"/>
    </row>
    <row r="5" spans="1:159" s="30" customFormat="1" ht="19.5" hidden="1" customHeight="1" outlineLevel="1" x14ac:dyDescent="0.2">
      <c r="A5" s="13" t="s">
        <v>97</v>
      </c>
      <c r="D5" s="317"/>
      <c r="E5" s="278"/>
      <c r="F5" s="110"/>
      <c r="G5" s="110">
        <v>1</v>
      </c>
      <c r="H5" s="110">
        <v>2</v>
      </c>
      <c r="I5" s="110">
        <v>3</v>
      </c>
      <c r="J5" s="110">
        <v>4</v>
      </c>
      <c r="K5" s="110">
        <v>5</v>
      </c>
      <c r="L5" s="110">
        <v>6</v>
      </c>
      <c r="M5" s="110">
        <v>7</v>
      </c>
      <c r="N5" s="110">
        <v>8</v>
      </c>
      <c r="O5" s="110">
        <v>9</v>
      </c>
      <c r="P5" s="110">
        <v>10</v>
      </c>
      <c r="Q5" s="110">
        <v>11</v>
      </c>
      <c r="R5" s="284"/>
      <c r="T5" s="285"/>
      <c r="U5" s="286"/>
      <c r="V5" s="286"/>
      <c r="W5" s="287"/>
      <c r="X5" s="15">
        <v>3</v>
      </c>
      <c r="Y5" s="286">
        <f>T5</f>
        <v>0</v>
      </c>
      <c r="Z5" s="286"/>
      <c r="AA5" s="286"/>
      <c r="AB5" s="286"/>
      <c r="AC5" s="286"/>
    </row>
    <row r="6" spans="1:159" s="30" customFormat="1" ht="19.5" hidden="1" customHeight="1" outlineLevel="1" x14ac:dyDescent="0.2">
      <c r="A6" s="30" t="s">
        <v>100</v>
      </c>
      <c r="D6" s="317"/>
      <c r="E6" s="278"/>
      <c r="F6" s="288">
        <f t="shared" ref="F6:Q6" si="0">WEEKDAY(F$3,2)</f>
        <v>4</v>
      </c>
      <c r="G6" s="288">
        <f t="shared" si="0"/>
        <v>1</v>
      </c>
      <c r="H6" s="288">
        <f t="shared" si="0"/>
        <v>2</v>
      </c>
      <c r="I6" s="288">
        <f t="shared" si="0"/>
        <v>6</v>
      </c>
      <c r="J6" s="288">
        <f t="shared" si="0"/>
        <v>2</v>
      </c>
      <c r="K6" s="288">
        <f t="shared" si="0"/>
        <v>6</v>
      </c>
      <c r="L6" s="288">
        <f t="shared" si="0"/>
        <v>2</v>
      </c>
      <c r="M6" s="288">
        <f t="shared" si="0"/>
        <v>6</v>
      </c>
      <c r="N6" s="288">
        <f t="shared" si="0"/>
        <v>3</v>
      </c>
      <c r="O6" s="288">
        <f t="shared" si="0"/>
        <v>6</v>
      </c>
      <c r="P6" s="288">
        <f t="shared" si="0"/>
        <v>3</v>
      </c>
      <c r="Q6" s="288">
        <f t="shared" si="0"/>
        <v>6</v>
      </c>
      <c r="R6" s="284"/>
      <c r="T6" s="285"/>
      <c r="U6" s="286"/>
      <c r="V6" s="286"/>
      <c r="W6" s="287"/>
      <c r="X6" s="15">
        <v>4</v>
      </c>
      <c r="Y6" s="286">
        <f>T6</f>
        <v>0</v>
      </c>
      <c r="Z6" s="286"/>
      <c r="AA6" s="286"/>
      <c r="AB6" s="286"/>
      <c r="AC6" s="286"/>
    </row>
    <row r="7" spans="1:159" s="289" customFormat="1" ht="22.5" hidden="1" customHeight="1" outlineLevel="1" x14ac:dyDescent="0.2">
      <c r="A7" s="13" t="s">
        <v>102</v>
      </c>
      <c r="D7" s="318" t="s">
        <v>255</v>
      </c>
      <c r="E7" s="290" t="s">
        <v>256</v>
      </c>
      <c r="F7" s="791">
        <f>Januar!$AH$2</f>
        <v>100</v>
      </c>
      <c r="G7" s="791">
        <f>Februar!$AH$2</f>
        <v>100</v>
      </c>
      <c r="H7" s="791">
        <f>Maerz!$AH$2</f>
        <v>100</v>
      </c>
      <c r="I7" s="791">
        <f>April!$AH$2</f>
        <v>100</v>
      </c>
      <c r="J7" s="791">
        <f>Mai!$AH$2</f>
        <v>100</v>
      </c>
      <c r="K7" s="791">
        <f>Juni!$AH$2</f>
        <v>100</v>
      </c>
      <c r="L7" s="791">
        <f>Juli!$AH$2</f>
        <v>100</v>
      </c>
      <c r="M7" s="791">
        <f>August!$AH$2</f>
        <v>100</v>
      </c>
      <c r="N7" s="791">
        <f>September!$AH$2</f>
        <v>100</v>
      </c>
      <c r="O7" s="791">
        <f>Oktober!$AH$2</f>
        <v>100</v>
      </c>
      <c r="P7" s="791">
        <f>November!$AH$2</f>
        <v>100</v>
      </c>
      <c r="Q7" s="791">
        <f>Dezember!$AH$2</f>
        <v>100</v>
      </c>
      <c r="R7" s="291">
        <f>ROUND(SUM(F7:Q7)/12,2)</f>
        <v>100</v>
      </c>
      <c r="T7" s="963">
        <f>ROUND(SUM(F7:H7)/3,2)</f>
        <v>100</v>
      </c>
      <c r="U7" s="963">
        <f>ROUND(SUM(I7:K7)/3,2)</f>
        <v>100</v>
      </c>
      <c r="V7" s="963">
        <f>ROUND(SUM(L7:N7)/3,2)</f>
        <v>100</v>
      </c>
      <c r="W7" s="963">
        <f>ROUND(SUM(O7:Q7)/3,2)</f>
        <v>100</v>
      </c>
      <c r="X7" s="15">
        <v>5</v>
      </c>
      <c r="Y7" s="292">
        <f t="shared" ref="Y7:Y14" si="1">HLOOKUP(BerichtQuelleA,TotalJahr,X7)</f>
        <v>100</v>
      </c>
      <c r="Z7" s="792"/>
      <c r="AA7" s="292">
        <f t="shared" ref="AA7:AA14" si="2">HLOOKUP(BerichtQuelleB,TotalJahr,X7)</f>
        <v>100</v>
      </c>
      <c r="AB7" s="292">
        <f t="shared" ref="AB7:AB12" si="3">HLOOKUP(BerichtQuelleD,TotalJahr,X7)</f>
        <v>100</v>
      </c>
      <c r="AC7" s="292"/>
    </row>
    <row r="8" spans="1:159" s="184" customFormat="1" collapsed="1" x14ac:dyDescent="0.2">
      <c r="A8" s="30" t="s">
        <v>104</v>
      </c>
      <c r="B8" s="293"/>
      <c r="C8" s="30"/>
      <c r="D8" s="1222" t="str">
        <f>CONCATENATE("Summe  ",ctArbeitsgebiete!K19)</f>
        <v>Summe  Basis-Zeit</v>
      </c>
      <c r="E8" s="1223" t="s">
        <v>257</v>
      </c>
      <c r="F8" s="964">
        <f>SUM(F22:F32)</f>
        <v>0</v>
      </c>
      <c r="G8" s="964">
        <f>SUM(G22:G32)</f>
        <v>0</v>
      </c>
      <c r="H8" s="964">
        <f t="shared" ref="H8:Q8" si="4">SUM(H22:H32)</f>
        <v>0</v>
      </c>
      <c r="I8" s="964">
        <f t="shared" si="4"/>
        <v>0</v>
      </c>
      <c r="J8" s="964">
        <f t="shared" si="4"/>
        <v>0</v>
      </c>
      <c r="K8" s="964">
        <f t="shared" si="4"/>
        <v>0</v>
      </c>
      <c r="L8" s="964">
        <f t="shared" si="4"/>
        <v>0</v>
      </c>
      <c r="M8" s="964">
        <f t="shared" si="4"/>
        <v>0</v>
      </c>
      <c r="N8" s="964">
        <f t="shared" si="4"/>
        <v>0</v>
      </c>
      <c r="O8" s="964">
        <f t="shared" si="4"/>
        <v>0</v>
      </c>
      <c r="P8" s="964">
        <f t="shared" si="4"/>
        <v>0</v>
      </c>
      <c r="Q8" s="964">
        <f t="shared" si="4"/>
        <v>0</v>
      </c>
      <c r="R8" s="965">
        <f>SUM(R22:R32)</f>
        <v>0</v>
      </c>
      <c r="S8" s="30"/>
      <c r="T8" s="966">
        <f>SUM(F8:H8)</f>
        <v>0</v>
      </c>
      <c r="U8" s="966">
        <f>SUM(I8:K8)</f>
        <v>0</v>
      </c>
      <c r="V8" s="966">
        <f>SUM(L8:N8)</f>
        <v>0</v>
      </c>
      <c r="W8" s="966">
        <f>SUM(O8:Q8)</f>
        <v>0</v>
      </c>
      <c r="X8" s="15">
        <v>6</v>
      </c>
      <c r="Y8" s="966">
        <f t="shared" si="1"/>
        <v>0</v>
      </c>
      <c r="Z8" s="793"/>
      <c r="AA8" s="966">
        <f t="shared" si="2"/>
        <v>0</v>
      </c>
      <c r="AB8" s="966">
        <f t="shared" si="3"/>
        <v>0</v>
      </c>
      <c r="AC8" s="966"/>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row>
    <row r="9" spans="1:159" s="294" customFormat="1" x14ac:dyDescent="0.2">
      <c r="A9" s="13" t="s">
        <v>107</v>
      </c>
      <c r="B9" s="185"/>
      <c r="C9" s="30"/>
      <c r="D9" s="1216" t="str">
        <f>CONCATENATE("Summe  ",ctArbeitsgebiete!B7)</f>
        <v xml:space="preserve">Summe  </v>
      </c>
      <c r="E9" s="1217" t="s">
        <v>256</v>
      </c>
      <c r="F9" s="794">
        <f>SUM(F41:F56)</f>
        <v>0</v>
      </c>
      <c r="G9" s="794">
        <f>SUM(G41:G56)</f>
        <v>0</v>
      </c>
      <c r="H9" s="794">
        <f t="shared" ref="H9:Q9" si="5">SUM(H41:H56)</f>
        <v>0</v>
      </c>
      <c r="I9" s="794">
        <f t="shared" si="5"/>
        <v>0</v>
      </c>
      <c r="J9" s="794">
        <f t="shared" si="5"/>
        <v>0</v>
      </c>
      <c r="K9" s="794">
        <f t="shared" si="5"/>
        <v>0</v>
      </c>
      <c r="L9" s="794">
        <f t="shared" si="5"/>
        <v>0</v>
      </c>
      <c r="M9" s="794">
        <f t="shared" si="5"/>
        <v>0</v>
      </c>
      <c r="N9" s="794">
        <f t="shared" si="5"/>
        <v>0</v>
      </c>
      <c r="O9" s="794">
        <f t="shared" si="5"/>
        <v>0</v>
      </c>
      <c r="P9" s="794">
        <f t="shared" si="5"/>
        <v>0</v>
      </c>
      <c r="Q9" s="794">
        <f t="shared" si="5"/>
        <v>0</v>
      </c>
      <c r="R9" s="795">
        <f>SUM(R41:R56)</f>
        <v>0</v>
      </c>
      <c r="S9" s="8"/>
      <c r="T9" s="796">
        <f>SUM(F9:H9)</f>
        <v>0</v>
      </c>
      <c r="U9" s="796">
        <f>SUM(I9:K9)</f>
        <v>0</v>
      </c>
      <c r="V9" s="796">
        <f>SUM(L9:N9)</f>
        <v>0</v>
      </c>
      <c r="W9" s="796">
        <f>SUM(O9:Q9)</f>
        <v>0</v>
      </c>
      <c r="X9" s="15">
        <v>7</v>
      </c>
      <c r="Y9" s="796">
        <f t="shared" si="1"/>
        <v>0</v>
      </c>
      <c r="Z9" s="793"/>
      <c r="AA9" s="796">
        <f t="shared" si="2"/>
        <v>0</v>
      </c>
      <c r="AB9" s="796">
        <f t="shared" si="3"/>
        <v>0</v>
      </c>
      <c r="AC9" s="796"/>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row>
    <row r="10" spans="1:159" s="294" customFormat="1" x14ac:dyDescent="0.2">
      <c r="A10" s="30" t="s">
        <v>108</v>
      </c>
      <c r="B10" s="185"/>
      <c r="C10" s="30"/>
      <c r="D10" s="1204" t="str">
        <f>CONCATENATE("Summe  ",ctArbeitsgebiete!E7)</f>
        <v xml:space="preserve">Summe  </v>
      </c>
      <c r="E10" s="1205" t="s">
        <v>257</v>
      </c>
      <c r="F10" s="797">
        <f>SUM(F57:F68)</f>
        <v>0</v>
      </c>
      <c r="G10" s="797">
        <f>SUM(G57:G68)</f>
        <v>0</v>
      </c>
      <c r="H10" s="797">
        <f t="shared" ref="H10:Q10" si="6">SUM(H57:H68)</f>
        <v>0</v>
      </c>
      <c r="I10" s="797">
        <f t="shared" si="6"/>
        <v>0</v>
      </c>
      <c r="J10" s="797">
        <f t="shared" si="6"/>
        <v>0</v>
      </c>
      <c r="K10" s="797">
        <f t="shared" si="6"/>
        <v>0</v>
      </c>
      <c r="L10" s="797">
        <f t="shared" si="6"/>
        <v>0</v>
      </c>
      <c r="M10" s="797">
        <f t="shared" si="6"/>
        <v>0</v>
      </c>
      <c r="N10" s="797">
        <f t="shared" si="6"/>
        <v>0</v>
      </c>
      <c r="O10" s="797">
        <f t="shared" si="6"/>
        <v>0</v>
      </c>
      <c r="P10" s="797">
        <f t="shared" si="6"/>
        <v>0</v>
      </c>
      <c r="Q10" s="797">
        <f t="shared" si="6"/>
        <v>0</v>
      </c>
      <c r="R10" s="798">
        <f>SUM(R57:R68)</f>
        <v>0</v>
      </c>
      <c r="S10" s="8"/>
      <c r="T10" s="799">
        <f>SUM(F10:H10)</f>
        <v>0</v>
      </c>
      <c r="U10" s="799">
        <f>SUM(I10:K10)</f>
        <v>0</v>
      </c>
      <c r="V10" s="799">
        <f>SUM(L10:N10)</f>
        <v>0</v>
      </c>
      <c r="W10" s="799">
        <f>SUM(O10:Q10)</f>
        <v>0</v>
      </c>
      <c r="X10" s="15">
        <v>8</v>
      </c>
      <c r="Y10" s="799">
        <f t="shared" si="1"/>
        <v>0</v>
      </c>
      <c r="Z10" s="793"/>
      <c r="AA10" s="799">
        <f t="shared" si="2"/>
        <v>0</v>
      </c>
      <c r="AB10" s="799">
        <f t="shared" si="3"/>
        <v>0</v>
      </c>
      <c r="AC10" s="799"/>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row>
    <row r="11" spans="1:159" s="294" customFormat="1" x14ac:dyDescent="0.2">
      <c r="A11" s="13" t="s">
        <v>201</v>
      </c>
      <c r="B11" s="185"/>
      <c r="C11" s="30"/>
      <c r="D11" s="1210" t="str">
        <f>CONCATENATE("Summe  ",ctArbeitsgebiete!H7)</f>
        <v xml:space="preserve">Summe  </v>
      </c>
      <c r="E11" s="1211" t="s">
        <v>256</v>
      </c>
      <c r="F11" s="800">
        <f>SUM(F69:F76)</f>
        <v>0</v>
      </c>
      <c r="G11" s="800">
        <f>SUM(G69:G76)</f>
        <v>0</v>
      </c>
      <c r="H11" s="800">
        <f t="shared" ref="H11:Q11" si="7">SUM(H69:H76)</f>
        <v>0</v>
      </c>
      <c r="I11" s="800">
        <f t="shared" si="7"/>
        <v>0</v>
      </c>
      <c r="J11" s="800">
        <f t="shared" si="7"/>
        <v>0</v>
      </c>
      <c r="K11" s="800">
        <f t="shared" si="7"/>
        <v>0</v>
      </c>
      <c r="L11" s="800">
        <f t="shared" si="7"/>
        <v>0</v>
      </c>
      <c r="M11" s="800">
        <f t="shared" si="7"/>
        <v>0</v>
      </c>
      <c r="N11" s="800">
        <f t="shared" si="7"/>
        <v>0</v>
      </c>
      <c r="O11" s="800">
        <f t="shared" si="7"/>
        <v>0</v>
      </c>
      <c r="P11" s="800">
        <f t="shared" si="7"/>
        <v>0</v>
      </c>
      <c r="Q11" s="800">
        <f t="shared" si="7"/>
        <v>0</v>
      </c>
      <c r="R11" s="801">
        <f>SUM(R69:R76)</f>
        <v>0</v>
      </c>
      <c r="S11" s="8"/>
      <c r="T11" s="802">
        <f>SUM(F11:H11)</f>
        <v>0</v>
      </c>
      <c r="U11" s="802">
        <f>SUM(I11:K11)</f>
        <v>0</v>
      </c>
      <c r="V11" s="802">
        <f>SUM(L11:N11)</f>
        <v>0</v>
      </c>
      <c r="W11" s="802">
        <f>SUM(O11:Q11)</f>
        <v>0</v>
      </c>
      <c r="X11" s="15">
        <v>9</v>
      </c>
      <c r="Y11" s="802">
        <f t="shared" si="1"/>
        <v>0</v>
      </c>
      <c r="Z11" s="793"/>
      <c r="AA11" s="802">
        <f t="shared" si="2"/>
        <v>0</v>
      </c>
      <c r="AB11" s="802">
        <f t="shared" si="3"/>
        <v>0</v>
      </c>
      <c r="AC11" s="802"/>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row>
    <row r="12" spans="1:159" s="296" customFormat="1" x14ac:dyDescent="0.2">
      <c r="A12" s="30" t="s">
        <v>205</v>
      </c>
      <c r="B12" s="295"/>
      <c r="C12" s="30"/>
      <c r="D12" s="1239" t="str">
        <f>CONCATENATE("Summe  ",ctArbeitsgebiete!K7)</f>
        <v>Summe  Diverses</v>
      </c>
      <c r="E12" s="1240" t="s">
        <v>257</v>
      </c>
      <c r="F12" s="803">
        <f>SUM(F77:F84)</f>
        <v>0</v>
      </c>
      <c r="G12" s="803">
        <f>SUM(G77:G84)</f>
        <v>0</v>
      </c>
      <c r="H12" s="803">
        <f t="shared" ref="H12:Q12" si="8">SUM(H77:H84)</f>
        <v>0</v>
      </c>
      <c r="I12" s="803">
        <f t="shared" si="8"/>
        <v>0</v>
      </c>
      <c r="J12" s="803">
        <f t="shared" si="8"/>
        <v>0</v>
      </c>
      <c r="K12" s="803">
        <f t="shared" si="8"/>
        <v>0</v>
      </c>
      <c r="L12" s="803">
        <f t="shared" si="8"/>
        <v>0</v>
      </c>
      <c r="M12" s="803">
        <f t="shared" si="8"/>
        <v>0</v>
      </c>
      <c r="N12" s="803">
        <f t="shared" si="8"/>
        <v>0</v>
      </c>
      <c r="O12" s="803">
        <f t="shared" si="8"/>
        <v>0</v>
      </c>
      <c r="P12" s="803">
        <f t="shared" si="8"/>
        <v>0</v>
      </c>
      <c r="Q12" s="803">
        <f t="shared" si="8"/>
        <v>0</v>
      </c>
      <c r="R12" s="804">
        <f>SUM(R77:R84)</f>
        <v>0</v>
      </c>
      <c r="S12" s="8"/>
      <c r="T12" s="805">
        <f>SUM(F12:H12)</f>
        <v>0</v>
      </c>
      <c r="U12" s="805">
        <f>SUM(I12:K12)</f>
        <v>0</v>
      </c>
      <c r="V12" s="805">
        <f>SUM(L12:N12)</f>
        <v>0</v>
      </c>
      <c r="W12" s="805">
        <f>SUM(O12:Q12)</f>
        <v>0</v>
      </c>
      <c r="X12" s="15">
        <v>10</v>
      </c>
      <c r="Y12" s="805">
        <f t="shared" si="1"/>
        <v>0</v>
      </c>
      <c r="Z12" s="806"/>
      <c r="AA12" s="805">
        <f t="shared" si="2"/>
        <v>0</v>
      </c>
      <c r="AB12" s="805">
        <f t="shared" si="3"/>
        <v>0</v>
      </c>
      <c r="AC12" s="805"/>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row>
    <row r="13" spans="1:159" s="30" customFormat="1" ht="22.5" hidden="1" customHeight="1" outlineLevel="1" thickBot="1" x14ac:dyDescent="0.25">
      <c r="A13" s="13" t="s">
        <v>210</v>
      </c>
      <c r="B13" s="297"/>
      <c r="D13" s="319" t="str">
        <f>Januar!C13</f>
        <v>Effektive Arbeitszeit</v>
      </c>
      <c r="E13" s="298"/>
      <c r="F13" s="312">
        <f>SUM(F8:F12)</f>
        <v>0</v>
      </c>
      <c r="G13" s="312">
        <f>SUM(G8:G12)</f>
        <v>0</v>
      </c>
      <c r="H13" s="312">
        <f t="shared" ref="H13:Q13" si="9">SUM(H8:H12)</f>
        <v>0</v>
      </c>
      <c r="I13" s="312">
        <f t="shared" si="9"/>
        <v>0</v>
      </c>
      <c r="J13" s="312">
        <f t="shared" si="9"/>
        <v>0</v>
      </c>
      <c r="K13" s="312">
        <f t="shared" si="9"/>
        <v>0</v>
      </c>
      <c r="L13" s="312">
        <f t="shared" si="9"/>
        <v>0</v>
      </c>
      <c r="M13" s="312">
        <f t="shared" si="9"/>
        <v>0</v>
      </c>
      <c r="N13" s="312">
        <f t="shared" si="9"/>
        <v>0</v>
      </c>
      <c r="O13" s="312">
        <f t="shared" si="9"/>
        <v>0</v>
      </c>
      <c r="P13" s="312">
        <f t="shared" si="9"/>
        <v>0</v>
      </c>
      <c r="Q13" s="312">
        <f t="shared" si="9"/>
        <v>0</v>
      </c>
      <c r="R13" s="299">
        <f>SUM(R8:R12)</f>
        <v>0</v>
      </c>
      <c r="T13" s="300"/>
      <c r="U13" s="301"/>
      <c r="V13" s="301"/>
      <c r="W13" s="302"/>
      <c r="X13" s="30">
        <v>11</v>
      </c>
      <c r="Y13" s="1127">
        <f t="shared" si="1"/>
        <v>0</v>
      </c>
      <c r="Z13" s="807"/>
      <c r="AA13" s="1127">
        <f t="shared" si="2"/>
        <v>0</v>
      </c>
      <c r="AB13" s="1127">
        <f>HLOOKUP(BerichtQuelleD,TotalJahr,X13)</f>
        <v>0</v>
      </c>
      <c r="AC13" s="1127"/>
    </row>
    <row r="14" spans="1:159" s="15" customFormat="1" collapsed="1" x14ac:dyDescent="0.2">
      <c r="A14" s="30" t="s">
        <v>214</v>
      </c>
      <c r="B14" s="30"/>
      <c r="C14" s="30"/>
      <c r="D14" s="1235" t="s">
        <v>258</v>
      </c>
      <c r="E14" s="1236"/>
      <c r="F14" s="967">
        <f>Januar!$AJ14</f>
        <v>0.35</v>
      </c>
      <c r="G14" s="967">
        <f>Februar!$AJ14</f>
        <v>0</v>
      </c>
      <c r="H14" s="967">
        <f>Maerz!$AJ14</f>
        <v>0</v>
      </c>
      <c r="I14" s="967">
        <f>April!$AJ14</f>
        <v>0.78333332999999994</v>
      </c>
      <c r="J14" s="967">
        <f>Mai!$AJ14</f>
        <v>1.1333333299999999</v>
      </c>
      <c r="K14" s="967">
        <f>Juni!$AJ14</f>
        <v>0</v>
      </c>
      <c r="L14" s="967">
        <f>Juli!$AJ14</f>
        <v>0</v>
      </c>
      <c r="M14" s="967">
        <f>August!$AJ14</f>
        <v>0</v>
      </c>
      <c r="N14" s="967">
        <f>September!$AJ14</f>
        <v>0</v>
      </c>
      <c r="O14" s="967">
        <f>Oktober!$AJ14</f>
        <v>0</v>
      </c>
      <c r="P14" s="967">
        <f>November!$AJ14</f>
        <v>0</v>
      </c>
      <c r="Q14" s="967">
        <f>Dezember!$AJ14</f>
        <v>0.7</v>
      </c>
      <c r="R14" s="808">
        <f>SUM(F14:Q14)</f>
        <v>2.9666666599999996</v>
      </c>
      <c r="T14" s="809">
        <f>SUM(F14:H14)</f>
        <v>0.35</v>
      </c>
      <c r="U14" s="809">
        <f>SUM(I14:K14)</f>
        <v>1.9166666599999997</v>
      </c>
      <c r="V14" s="809">
        <f>SUM(L14:N14)</f>
        <v>0</v>
      </c>
      <c r="W14" s="809">
        <f>SUM(O14:Q14)</f>
        <v>0.7</v>
      </c>
      <c r="X14" s="15">
        <v>12</v>
      </c>
      <c r="Y14" s="809">
        <f t="shared" si="1"/>
        <v>2.9666666599999996</v>
      </c>
      <c r="Z14" s="793"/>
      <c r="AA14" s="809">
        <f t="shared" si="2"/>
        <v>2.9666666599999996</v>
      </c>
      <c r="AB14" s="809">
        <f>HLOOKUP(BerichtQuelleD,TotalJahr,X14)</f>
        <v>2.9666666599999996</v>
      </c>
      <c r="AC14" s="809"/>
    </row>
    <row r="15" spans="1:159" s="30" customFormat="1" hidden="1" x14ac:dyDescent="0.2">
      <c r="A15" s="13" t="s">
        <v>218</v>
      </c>
      <c r="D15" s="1233" t="s">
        <v>259</v>
      </c>
      <c r="E15" s="1234"/>
      <c r="F15" s="313">
        <f>Januar!$AJ16</f>
        <v>7.349999999999997</v>
      </c>
      <c r="G15" s="313">
        <f>Februar!$AJ16</f>
        <v>6.9999999999999973</v>
      </c>
      <c r="H15" s="313">
        <f>Maerz!$AJ16</f>
        <v>7.6999999999999966</v>
      </c>
      <c r="I15" s="313">
        <f>April!$AJ16</f>
        <v>6.9166666699999979</v>
      </c>
      <c r="J15" s="313">
        <f>Mai!$AJ16</f>
        <v>6.2166666699999986</v>
      </c>
      <c r="K15" s="313">
        <f>Juni!$AJ16</f>
        <v>7.6999999999999966</v>
      </c>
      <c r="L15" s="313">
        <f>Juli!$AJ16</f>
        <v>8.0499999999999972</v>
      </c>
      <c r="M15" s="313">
        <f>August!$AJ16</f>
        <v>7.349999999999997</v>
      </c>
      <c r="N15" s="313">
        <f>September!$AJ16</f>
        <v>7.6999999999999966</v>
      </c>
      <c r="O15" s="313">
        <f>Oktober!$AJ16</f>
        <v>7.6999999999999966</v>
      </c>
      <c r="P15" s="313">
        <f>November!$AJ16</f>
        <v>7.349999999999997</v>
      </c>
      <c r="Q15" s="313">
        <f>Dezember!$AJ16</f>
        <v>7.349999999999997</v>
      </c>
      <c r="R15" s="810">
        <f>SUM(F15:Q15)</f>
        <v>88.383333339999965</v>
      </c>
      <c r="S15" s="303"/>
      <c r="T15" s="811">
        <f t="shared" ref="T15:T78" si="10">SUM(F15:H15)</f>
        <v>22.04999999999999</v>
      </c>
      <c r="U15" s="811">
        <f t="shared" ref="U15:U78" si="11">SUM(I15:K15)</f>
        <v>20.833333339999992</v>
      </c>
      <c r="V15" s="811">
        <f t="shared" ref="V15:V78" si="12">SUM(L15:N15)</f>
        <v>23.099999999999991</v>
      </c>
      <c r="W15" s="811">
        <f t="shared" ref="W15:W78" si="13">SUM(O15:Q15)</f>
        <v>22.399999999999991</v>
      </c>
      <c r="X15" s="15">
        <f>X14+1</f>
        <v>13</v>
      </c>
      <c r="Y15" s="811">
        <f t="shared" ref="Y15:Y78" si="14">HLOOKUP(BerichtQuelleA,TotalJahr,X15)</f>
        <v>88.383333339999965</v>
      </c>
      <c r="Z15" s="812"/>
      <c r="AA15" s="811">
        <f t="shared" ref="AA15:AA78" si="15">HLOOKUP(BerichtQuelleB,TotalJahr,X15)</f>
        <v>88.383333339999965</v>
      </c>
      <c r="AB15" s="811">
        <f t="shared" ref="AB15:AB78" si="16">HLOOKUP(BerichtQuelleD,TotalJahr,X15)</f>
        <v>88.383333339999965</v>
      </c>
      <c r="AC15" s="811"/>
    </row>
    <row r="16" spans="1:159" s="30" customFormat="1" ht="22.5" hidden="1" customHeight="1" outlineLevel="1" x14ac:dyDescent="0.2">
      <c r="A16" s="30" t="s">
        <v>223</v>
      </c>
      <c r="D16" s="320" t="s">
        <v>260</v>
      </c>
      <c r="E16" s="304"/>
      <c r="F16" s="314">
        <f>Januar!$AJ17</f>
        <v>7.6999999999999966</v>
      </c>
      <c r="G16" s="314">
        <f>Februar!$AJ17</f>
        <v>6.9999999999999973</v>
      </c>
      <c r="H16" s="314">
        <f>Maerz!$AJ17</f>
        <v>7.6999999999999966</v>
      </c>
      <c r="I16" s="314">
        <f>April!$AJ17</f>
        <v>7.6999999999999966</v>
      </c>
      <c r="J16" s="314">
        <f>Mai!$AJ17</f>
        <v>7.349999999999997</v>
      </c>
      <c r="K16" s="314">
        <f>Juni!$AJ17</f>
        <v>7.6999999999999966</v>
      </c>
      <c r="L16" s="314">
        <f>Juli!$AJ17</f>
        <v>8.0499999999999972</v>
      </c>
      <c r="M16" s="314">
        <f>August!$AJ17</f>
        <v>7.349999999999997</v>
      </c>
      <c r="N16" s="314">
        <f>September!$AJ17</f>
        <v>7.6999999999999966</v>
      </c>
      <c r="O16" s="314">
        <f>Oktober!$AJ17</f>
        <v>7.6999999999999966</v>
      </c>
      <c r="P16" s="314">
        <f>November!$AJ17</f>
        <v>7.349999999999997</v>
      </c>
      <c r="Q16" s="314">
        <f>Dezember!$AJ17</f>
        <v>8.0499999999999972</v>
      </c>
      <c r="R16" s="810">
        <f>SUM(F16:Q16)</f>
        <v>91.349999999999966</v>
      </c>
      <c r="T16" s="813">
        <f t="shared" si="10"/>
        <v>22.399999999999991</v>
      </c>
      <c r="U16" s="813">
        <f t="shared" si="11"/>
        <v>22.749999999999989</v>
      </c>
      <c r="V16" s="813">
        <f t="shared" si="12"/>
        <v>23.099999999999991</v>
      </c>
      <c r="W16" s="813">
        <f t="shared" si="13"/>
        <v>23.099999999999991</v>
      </c>
      <c r="X16" s="15">
        <f t="shared" ref="X16:X79" si="17">X15+1</f>
        <v>14</v>
      </c>
      <c r="Y16" s="813">
        <f t="shared" si="14"/>
        <v>91.349999999999966</v>
      </c>
      <c r="Z16" s="814"/>
      <c r="AA16" s="813">
        <f t="shared" si="15"/>
        <v>91.349999999999966</v>
      </c>
      <c r="AB16" s="813">
        <f t="shared" si="16"/>
        <v>91.349999999999966</v>
      </c>
      <c r="AC16" s="813"/>
    </row>
    <row r="17" spans="1:29" s="30" customFormat="1" collapsed="1" x14ac:dyDescent="0.2">
      <c r="A17" s="13" t="s">
        <v>261</v>
      </c>
      <c r="D17" s="1233" t="s">
        <v>262</v>
      </c>
      <c r="E17" s="1234"/>
      <c r="F17" s="315">
        <f>Januar!$AJ18</f>
        <v>-7.349999999999997</v>
      </c>
      <c r="G17" s="315">
        <f>Februar!$AJ18</f>
        <v>-6.9999999999999973</v>
      </c>
      <c r="H17" s="315">
        <f>Maerz!$AJ18</f>
        <v>-7.6999999999999966</v>
      </c>
      <c r="I17" s="315">
        <f>April!$AJ18</f>
        <v>-6.9166666699999979</v>
      </c>
      <c r="J17" s="315">
        <f>Mai!$AJ18</f>
        <v>-6.2166666699999986</v>
      </c>
      <c r="K17" s="315">
        <f>Juni!$AJ18</f>
        <v>-7.6999999999999966</v>
      </c>
      <c r="L17" s="315">
        <f>Juli!$AJ18</f>
        <v>-8.0499999999999972</v>
      </c>
      <c r="M17" s="315">
        <f>August!$AJ18</f>
        <v>-7.349999999999997</v>
      </c>
      <c r="N17" s="315">
        <f>September!$AJ18</f>
        <v>-7.6999999999999966</v>
      </c>
      <c r="O17" s="315">
        <f>Oktober!$AJ18</f>
        <v>-7.6999999999999966</v>
      </c>
      <c r="P17" s="315">
        <f>November!$AJ18</f>
        <v>-7.349999999999997</v>
      </c>
      <c r="Q17" s="315">
        <f>Dezember!$AJ18</f>
        <v>-7.349999999999997</v>
      </c>
      <c r="R17" s="810">
        <f>SUM(F17:Q17)</f>
        <v>-88.383333339999965</v>
      </c>
      <c r="T17" s="811">
        <f t="shared" si="10"/>
        <v>-22.04999999999999</v>
      </c>
      <c r="U17" s="811">
        <f t="shared" si="11"/>
        <v>-20.833333339999992</v>
      </c>
      <c r="V17" s="811">
        <f t="shared" si="12"/>
        <v>-23.099999999999991</v>
      </c>
      <c r="W17" s="811">
        <f t="shared" si="13"/>
        <v>-22.399999999999991</v>
      </c>
      <c r="X17" s="15">
        <f t="shared" si="17"/>
        <v>15</v>
      </c>
      <c r="Y17" s="811">
        <f t="shared" si="14"/>
        <v>-88.383333339999965</v>
      </c>
      <c r="Z17" s="812"/>
      <c r="AA17" s="811">
        <f t="shared" si="15"/>
        <v>-88.383333339999965</v>
      </c>
      <c r="AB17" s="811">
        <f t="shared" si="16"/>
        <v>-88.383333339999965</v>
      </c>
      <c r="AC17" s="811"/>
    </row>
    <row r="18" spans="1:29" s="30" customFormat="1" x14ac:dyDescent="0.2">
      <c r="A18" s="30" t="s">
        <v>263</v>
      </c>
      <c r="D18" s="1233" t="s">
        <v>264</v>
      </c>
      <c r="E18" s="1234"/>
      <c r="F18" s="313">
        <f ca="1">Januar!$AJ19</f>
        <v>0</v>
      </c>
      <c r="G18" s="313">
        <f ca="1">Februar!$AJ19</f>
        <v>0</v>
      </c>
      <c r="H18" s="313">
        <f ca="1">Maerz!$AJ19</f>
        <v>0</v>
      </c>
      <c r="I18" s="313">
        <f ca="1">April!$AJ19</f>
        <v>0</v>
      </c>
      <c r="J18" s="313">
        <f ca="1">Mai!$AJ19</f>
        <v>0</v>
      </c>
      <c r="K18" s="313">
        <f ca="1">Juni!$AJ19</f>
        <v>0</v>
      </c>
      <c r="L18" s="313">
        <f ca="1">Juli!$AJ19</f>
        <v>0</v>
      </c>
      <c r="M18" s="313">
        <f ca="1">August!$AJ19</f>
        <v>0</v>
      </c>
      <c r="N18" s="313">
        <f ca="1">September!$AJ19</f>
        <v>0</v>
      </c>
      <c r="O18" s="313">
        <f ca="1">Oktober!$AJ19</f>
        <v>0</v>
      </c>
      <c r="P18" s="313">
        <f ca="1">November!$AJ19</f>
        <v>0</v>
      </c>
      <c r="Q18" s="313">
        <f ca="1">Dezember!$AJ19</f>
        <v>0</v>
      </c>
      <c r="R18" s="810">
        <f ca="1">Q18</f>
        <v>0</v>
      </c>
      <c r="T18" s="811">
        <f ca="1">H18</f>
        <v>0</v>
      </c>
      <c r="U18" s="811">
        <f ca="1">K18</f>
        <v>0</v>
      </c>
      <c r="V18" s="811">
        <f ca="1">N18</f>
        <v>0</v>
      </c>
      <c r="W18" s="811">
        <f ca="1">Q18</f>
        <v>0</v>
      </c>
      <c r="X18" s="15">
        <f t="shared" si="17"/>
        <v>16</v>
      </c>
      <c r="Y18" s="811">
        <f t="shared" ca="1" si="14"/>
        <v>0</v>
      </c>
      <c r="Z18" s="812"/>
      <c r="AA18" s="811">
        <f t="shared" ca="1" si="15"/>
        <v>0</v>
      </c>
      <c r="AB18" s="811">
        <f t="shared" ca="1" si="16"/>
        <v>0</v>
      </c>
      <c r="AC18" s="811"/>
    </row>
    <row r="19" spans="1:29" s="30" customFormat="1" x14ac:dyDescent="0.2">
      <c r="A19" s="13" t="s">
        <v>265</v>
      </c>
      <c r="D19" s="1235" t="s">
        <v>103</v>
      </c>
      <c r="E19" s="1236"/>
      <c r="F19" s="313">
        <f>Januar!$AJ15</f>
        <v>0.35000000000000003</v>
      </c>
      <c r="G19" s="313">
        <f>Februar!$AJ15</f>
        <v>0</v>
      </c>
      <c r="H19" s="313">
        <f>Maerz!$AJ15</f>
        <v>0</v>
      </c>
      <c r="I19" s="313">
        <f>April!$AJ15</f>
        <v>0.78333333333333344</v>
      </c>
      <c r="J19" s="313">
        <f>Mai!$AJ15</f>
        <v>1.1333333333333335</v>
      </c>
      <c r="K19" s="313">
        <f>Juni!$AJ15</f>
        <v>0</v>
      </c>
      <c r="L19" s="313">
        <f>Juli!$AJ15</f>
        <v>0</v>
      </c>
      <c r="M19" s="313">
        <f>August!$AJ15</f>
        <v>0</v>
      </c>
      <c r="N19" s="313">
        <f>September!$AJ15</f>
        <v>0</v>
      </c>
      <c r="O19" s="313">
        <f>Oktober!$AJ15</f>
        <v>0</v>
      </c>
      <c r="P19" s="313">
        <f>November!$AJ15</f>
        <v>0</v>
      </c>
      <c r="Q19" s="313">
        <f>Dezember!$AJ15</f>
        <v>0.70000000000000007</v>
      </c>
      <c r="R19" s="810">
        <f>SUM(F19:Q19)</f>
        <v>2.9666666666666672</v>
      </c>
      <c r="T19" s="811">
        <f t="shared" si="10"/>
        <v>0.35000000000000003</v>
      </c>
      <c r="U19" s="811">
        <f t="shared" si="11"/>
        <v>1.916666666666667</v>
      </c>
      <c r="V19" s="811">
        <f t="shared" si="12"/>
        <v>0</v>
      </c>
      <c r="W19" s="811">
        <f t="shared" si="13"/>
        <v>0.70000000000000007</v>
      </c>
      <c r="X19" s="15">
        <f t="shared" si="17"/>
        <v>17</v>
      </c>
      <c r="Y19" s="811">
        <f t="shared" si="14"/>
        <v>2.9666666666666672</v>
      </c>
      <c r="Z19" s="812"/>
      <c r="AA19" s="811">
        <f t="shared" si="15"/>
        <v>2.9666666666666672</v>
      </c>
      <c r="AB19" s="811">
        <f t="shared" si="16"/>
        <v>2.9666666666666672</v>
      </c>
      <c r="AC19" s="811"/>
    </row>
    <row r="20" spans="1:29" s="30" customFormat="1" ht="22.5" hidden="1" customHeight="1" outlineLevel="1" x14ac:dyDescent="0.2">
      <c r="A20" s="30" t="s">
        <v>266</v>
      </c>
      <c r="D20" s="1237" t="s">
        <v>267</v>
      </c>
      <c r="E20" s="1238"/>
      <c r="F20" s="314">
        <f>Januar!$AJ20</f>
        <v>0</v>
      </c>
      <c r="G20" s="314">
        <f>Februar!$AJ20</f>
        <v>0</v>
      </c>
      <c r="H20" s="314">
        <f>Maerz!$AJ20</f>
        <v>0</v>
      </c>
      <c r="I20" s="314">
        <f>April!$AJ20</f>
        <v>0</v>
      </c>
      <c r="J20" s="314">
        <f>Mai!$AJ20</f>
        <v>0</v>
      </c>
      <c r="K20" s="314">
        <f>Juni!$AJ20</f>
        <v>0</v>
      </c>
      <c r="L20" s="314">
        <f>Juli!$AJ20</f>
        <v>0</v>
      </c>
      <c r="M20" s="314">
        <f>August!$AJ20</f>
        <v>0</v>
      </c>
      <c r="N20" s="314">
        <f>September!$AJ20</f>
        <v>0</v>
      </c>
      <c r="O20" s="314">
        <f>Oktober!$AJ20</f>
        <v>0</v>
      </c>
      <c r="P20" s="314">
        <f>November!$AJ20</f>
        <v>0</v>
      </c>
      <c r="Q20" s="314">
        <f>Dezember!$AJ20</f>
        <v>0</v>
      </c>
      <c r="R20" s="815">
        <f>SUM(F20:Q20)</f>
        <v>0</v>
      </c>
      <c r="T20" s="816">
        <f t="shared" si="10"/>
        <v>0</v>
      </c>
      <c r="U20" s="817">
        <f t="shared" si="11"/>
        <v>0</v>
      </c>
      <c r="V20" s="817">
        <f t="shared" si="12"/>
        <v>0</v>
      </c>
      <c r="W20" s="818">
        <f t="shared" si="13"/>
        <v>0</v>
      </c>
      <c r="X20" s="15">
        <f t="shared" si="17"/>
        <v>18</v>
      </c>
      <c r="Y20" s="817">
        <f t="shared" si="14"/>
        <v>0</v>
      </c>
      <c r="Z20" s="819"/>
      <c r="AA20" s="817">
        <f t="shared" si="15"/>
        <v>0</v>
      </c>
      <c r="AB20" s="817">
        <f t="shared" si="16"/>
        <v>0</v>
      </c>
      <c r="AC20" s="817"/>
    </row>
    <row r="21" spans="1:29" s="30" customFormat="1" ht="22.5" hidden="1" customHeight="1" outlineLevel="1" x14ac:dyDescent="0.2">
      <c r="A21" s="13" t="s">
        <v>268</v>
      </c>
      <c r="D21" s="1231" t="s">
        <v>269</v>
      </c>
      <c r="E21" s="1232"/>
      <c r="F21" s="968">
        <f>Januar!$AJ21</f>
        <v>0</v>
      </c>
      <c r="G21" s="968">
        <f>Februar!$AJ21</f>
        <v>0</v>
      </c>
      <c r="H21" s="968">
        <f>Maerz!$AJ21</f>
        <v>0</v>
      </c>
      <c r="I21" s="968">
        <f>April!$AJ21</f>
        <v>0</v>
      </c>
      <c r="J21" s="968">
        <f>Mai!$AJ21</f>
        <v>0</v>
      </c>
      <c r="K21" s="968">
        <f>Juni!$AJ21</f>
        <v>0</v>
      </c>
      <c r="L21" s="968">
        <f>Juli!$AJ21</f>
        <v>0</v>
      </c>
      <c r="M21" s="968">
        <f>August!$AJ21</f>
        <v>0</v>
      </c>
      <c r="N21" s="968">
        <f>September!$AJ21</f>
        <v>0</v>
      </c>
      <c r="O21" s="968">
        <f>Oktober!$AJ21</f>
        <v>0</v>
      </c>
      <c r="P21" s="968">
        <f>November!$AJ21</f>
        <v>0</v>
      </c>
      <c r="Q21" s="968">
        <f>Dezember!$AJ21</f>
        <v>0</v>
      </c>
      <c r="R21" s="820">
        <f>SUM(E21:Q21)</f>
        <v>0</v>
      </c>
      <c r="T21" s="969">
        <f t="shared" si="10"/>
        <v>0</v>
      </c>
      <c r="U21" s="970">
        <f t="shared" si="11"/>
        <v>0</v>
      </c>
      <c r="V21" s="970">
        <f t="shared" si="12"/>
        <v>0</v>
      </c>
      <c r="W21" s="971">
        <f t="shared" si="13"/>
        <v>0</v>
      </c>
      <c r="X21" s="15">
        <f t="shared" si="17"/>
        <v>19</v>
      </c>
      <c r="Y21" s="970">
        <f t="shared" si="14"/>
        <v>0</v>
      </c>
      <c r="Z21" s="972"/>
      <c r="AA21" s="970">
        <f t="shared" si="15"/>
        <v>0</v>
      </c>
      <c r="AB21" s="970">
        <f t="shared" si="16"/>
        <v>0</v>
      </c>
      <c r="AC21" s="970"/>
    </row>
    <row r="22" spans="1:29" s="30" customFormat="1" collapsed="1" x14ac:dyDescent="0.2">
      <c r="A22" s="30" t="s">
        <v>270</v>
      </c>
      <c r="D22" s="1222" t="s">
        <v>271</v>
      </c>
      <c r="E22" s="1223"/>
      <c r="F22" s="964">
        <f>Januar!$AJ22</f>
        <v>0</v>
      </c>
      <c r="G22" s="964">
        <f>Februar!$AJ22</f>
        <v>0</v>
      </c>
      <c r="H22" s="964">
        <f>Maerz!$AJ22</f>
        <v>0</v>
      </c>
      <c r="I22" s="964">
        <f>April!$AJ22</f>
        <v>0</v>
      </c>
      <c r="J22" s="964">
        <f>Mai!$AJ22</f>
        <v>0</v>
      </c>
      <c r="K22" s="964">
        <f>Juni!$AJ22</f>
        <v>0</v>
      </c>
      <c r="L22" s="964">
        <f>Juli!$AJ22</f>
        <v>0</v>
      </c>
      <c r="M22" s="964">
        <f>August!$AJ22</f>
        <v>0</v>
      </c>
      <c r="N22" s="964">
        <f>September!$AJ22</f>
        <v>0</v>
      </c>
      <c r="O22" s="964">
        <f>Oktober!$AJ22</f>
        <v>0</v>
      </c>
      <c r="P22" s="964">
        <f>November!$AJ22</f>
        <v>0</v>
      </c>
      <c r="Q22" s="964">
        <f>Dezember!$AJ22</f>
        <v>0</v>
      </c>
      <c r="R22" s="965">
        <f>SUM(F22:Q22)</f>
        <v>0</v>
      </c>
      <c r="T22" s="966">
        <f>SUM(F22:H22)</f>
        <v>0</v>
      </c>
      <c r="U22" s="966">
        <f>SUM(I22:K22)</f>
        <v>0</v>
      </c>
      <c r="V22" s="966">
        <f>SUM(L22:N22)</f>
        <v>0</v>
      </c>
      <c r="W22" s="966">
        <f>SUM(O22:Q22)</f>
        <v>0</v>
      </c>
      <c r="X22" s="15">
        <f t="shared" si="17"/>
        <v>20</v>
      </c>
      <c r="Y22" s="966">
        <f t="shared" si="14"/>
        <v>0</v>
      </c>
      <c r="Z22" s="973" t="str">
        <f>D22</f>
        <v>Ferienbezug</v>
      </c>
      <c r="AA22" s="966">
        <f t="shared" si="15"/>
        <v>0</v>
      </c>
      <c r="AB22" s="966">
        <f t="shared" si="16"/>
        <v>0</v>
      </c>
      <c r="AC22" s="966"/>
    </row>
    <row r="23" spans="1:29" s="30" customFormat="1" ht="22.5" hidden="1" customHeight="1" outlineLevel="1" x14ac:dyDescent="0.2">
      <c r="A23" s="13" t="s">
        <v>272</v>
      </c>
      <c r="D23" s="1218" t="s">
        <v>273</v>
      </c>
      <c r="E23" s="1219"/>
      <c r="F23" s="821">
        <f>Januar!$AJ23</f>
        <v>0</v>
      </c>
      <c r="G23" s="821">
        <f>Februar!$AJ23</f>
        <v>0</v>
      </c>
      <c r="H23" s="821">
        <f>Maerz!$AJ23</f>
        <v>0</v>
      </c>
      <c r="I23" s="821">
        <f>April!$AJ23</f>
        <v>0</v>
      </c>
      <c r="J23" s="821">
        <f>Mai!$AJ23</f>
        <v>0</v>
      </c>
      <c r="K23" s="821">
        <f>Juni!$AJ23</f>
        <v>0</v>
      </c>
      <c r="L23" s="821">
        <f>Juli!$AJ23</f>
        <v>0</v>
      </c>
      <c r="M23" s="821">
        <f>August!$AJ23</f>
        <v>0</v>
      </c>
      <c r="N23" s="821">
        <f>September!$AJ23</f>
        <v>0</v>
      </c>
      <c r="O23" s="821">
        <f>Oktober!$AJ23</f>
        <v>0</v>
      </c>
      <c r="P23" s="821">
        <f>November!$AJ23</f>
        <v>0</v>
      </c>
      <c r="Q23" s="821">
        <f>Dezember!$AJ23</f>
        <v>0</v>
      </c>
      <c r="R23" s="822">
        <f t="shared" ref="R23:R38" si="18">SUM(F23:Q23)</f>
        <v>0</v>
      </c>
      <c r="T23" s="823">
        <f t="shared" si="10"/>
        <v>0</v>
      </c>
      <c r="U23" s="823">
        <f t="shared" si="11"/>
        <v>0</v>
      </c>
      <c r="V23" s="823">
        <f t="shared" si="12"/>
        <v>0</v>
      </c>
      <c r="W23" s="823">
        <f t="shared" si="13"/>
        <v>0</v>
      </c>
      <c r="X23" s="15">
        <f t="shared" si="17"/>
        <v>21</v>
      </c>
      <c r="Y23" s="823">
        <f t="shared" si="14"/>
        <v>0</v>
      </c>
      <c r="Z23" s="973" t="str">
        <f t="shared" ref="Z23:Z85" si="19">D23</f>
        <v>Kompens. Arbeitszeit</v>
      </c>
      <c r="AA23" s="823">
        <f t="shared" si="15"/>
        <v>0</v>
      </c>
      <c r="AB23" s="823">
        <f t="shared" si="16"/>
        <v>0</v>
      </c>
      <c r="AC23" s="823"/>
    </row>
    <row r="24" spans="1:29" s="30" customFormat="1" ht="22.5" hidden="1" customHeight="1" outlineLevel="1" x14ac:dyDescent="0.2">
      <c r="A24" s="30" t="s">
        <v>274</v>
      </c>
      <c r="D24" s="1218" t="s">
        <v>275</v>
      </c>
      <c r="E24" s="1219"/>
      <c r="F24" s="821">
        <f>Januar!$AJ24</f>
        <v>0</v>
      </c>
      <c r="G24" s="821">
        <f>Februar!$AJ24</f>
        <v>0</v>
      </c>
      <c r="H24" s="821">
        <f>Maerz!$AJ24</f>
        <v>0</v>
      </c>
      <c r="I24" s="821">
        <f>April!$AJ24</f>
        <v>0</v>
      </c>
      <c r="J24" s="821">
        <f>Mai!$AJ24</f>
        <v>0</v>
      </c>
      <c r="K24" s="821">
        <f>Juni!$AJ24</f>
        <v>0</v>
      </c>
      <c r="L24" s="821">
        <f>Juli!$AJ24</f>
        <v>0</v>
      </c>
      <c r="M24" s="821">
        <f>August!$AJ24</f>
        <v>0</v>
      </c>
      <c r="N24" s="821">
        <f>September!$AJ24</f>
        <v>0</v>
      </c>
      <c r="O24" s="821">
        <f>Oktober!$AJ24</f>
        <v>0</v>
      </c>
      <c r="P24" s="821">
        <f>November!$AJ24</f>
        <v>0</v>
      </c>
      <c r="Q24" s="821">
        <f>Dezember!$AJ24</f>
        <v>0</v>
      </c>
      <c r="R24" s="822">
        <f t="shared" si="18"/>
        <v>0</v>
      </c>
      <c r="T24" s="823">
        <f t="shared" si="10"/>
        <v>0</v>
      </c>
      <c r="U24" s="823">
        <f t="shared" si="11"/>
        <v>0</v>
      </c>
      <c r="V24" s="823">
        <f t="shared" si="12"/>
        <v>0</v>
      </c>
      <c r="W24" s="823">
        <f t="shared" si="13"/>
        <v>0</v>
      </c>
      <c r="X24" s="15">
        <f t="shared" si="17"/>
        <v>22</v>
      </c>
      <c r="Y24" s="823">
        <f t="shared" si="14"/>
        <v>0</v>
      </c>
      <c r="Z24" s="973" t="str">
        <f t="shared" si="19"/>
        <v>Kompens. Überzeit</v>
      </c>
      <c r="AA24" s="823">
        <f t="shared" si="15"/>
        <v>0</v>
      </c>
      <c r="AB24" s="823">
        <f t="shared" si="16"/>
        <v>0</v>
      </c>
      <c r="AC24" s="823"/>
    </row>
    <row r="25" spans="1:29" s="30" customFormat="1" collapsed="1" x14ac:dyDescent="0.2">
      <c r="A25" s="13" t="s">
        <v>276</v>
      </c>
      <c r="D25" s="1218" t="s">
        <v>213</v>
      </c>
      <c r="E25" s="1230"/>
      <c r="F25" s="821">
        <f>Januar!$AJ25</f>
        <v>0</v>
      </c>
      <c r="G25" s="821">
        <f>Februar!$AJ25</f>
        <v>0</v>
      </c>
      <c r="H25" s="821">
        <f>Maerz!$AJ25</f>
        <v>0</v>
      </c>
      <c r="I25" s="821">
        <f>April!$AJ25</f>
        <v>0</v>
      </c>
      <c r="J25" s="821">
        <f>Mai!$AJ25</f>
        <v>0</v>
      </c>
      <c r="K25" s="821">
        <f>Juni!$AJ25</f>
        <v>0</v>
      </c>
      <c r="L25" s="821">
        <f>Juli!$AJ25</f>
        <v>0</v>
      </c>
      <c r="M25" s="821">
        <f>August!$AJ25</f>
        <v>0</v>
      </c>
      <c r="N25" s="821">
        <f>September!$AJ25</f>
        <v>0</v>
      </c>
      <c r="O25" s="821">
        <f>Oktober!$AJ25</f>
        <v>0</v>
      </c>
      <c r="P25" s="821">
        <f>November!$AJ25</f>
        <v>0</v>
      </c>
      <c r="Q25" s="821">
        <f>Dezember!$AJ25</f>
        <v>0</v>
      </c>
      <c r="R25" s="822">
        <f t="shared" si="18"/>
        <v>0</v>
      </c>
      <c r="T25" s="823">
        <f t="shared" si="10"/>
        <v>0</v>
      </c>
      <c r="U25" s="823">
        <f t="shared" si="11"/>
        <v>0</v>
      </c>
      <c r="V25" s="823">
        <f t="shared" si="12"/>
        <v>0</v>
      </c>
      <c r="W25" s="823">
        <f t="shared" si="13"/>
        <v>0</v>
      </c>
      <c r="X25" s="15">
        <f t="shared" si="17"/>
        <v>23</v>
      </c>
      <c r="Y25" s="823">
        <f t="shared" si="14"/>
        <v>0</v>
      </c>
      <c r="Z25" s="973" t="str">
        <f t="shared" si="19"/>
        <v>Krankheit</v>
      </c>
      <c r="AA25" s="823">
        <f t="shared" si="15"/>
        <v>0</v>
      </c>
      <c r="AB25" s="823">
        <f t="shared" si="16"/>
        <v>0</v>
      </c>
      <c r="AC25" s="823"/>
    </row>
    <row r="26" spans="1:29" s="30" customFormat="1" x14ac:dyDescent="0.2">
      <c r="A26" s="30" t="s">
        <v>277</v>
      </c>
      <c r="D26" s="1218" t="s">
        <v>217</v>
      </c>
      <c r="E26" s="1219"/>
      <c r="F26" s="821">
        <f>Januar!$AJ26</f>
        <v>0</v>
      </c>
      <c r="G26" s="821">
        <f>Februar!$AJ26</f>
        <v>0</v>
      </c>
      <c r="H26" s="821">
        <f>Maerz!$AJ26</f>
        <v>0</v>
      </c>
      <c r="I26" s="821">
        <f>April!$AJ26</f>
        <v>0</v>
      </c>
      <c r="J26" s="821">
        <f>Mai!$AJ26</f>
        <v>0</v>
      </c>
      <c r="K26" s="821">
        <f>Juni!$AJ26</f>
        <v>0</v>
      </c>
      <c r="L26" s="821">
        <f>Juli!$AJ26</f>
        <v>0</v>
      </c>
      <c r="M26" s="821">
        <f>August!$AJ26</f>
        <v>0</v>
      </c>
      <c r="N26" s="821">
        <f>September!$AJ26</f>
        <v>0</v>
      </c>
      <c r="O26" s="821">
        <f>Oktober!$AJ26</f>
        <v>0</v>
      </c>
      <c r="P26" s="821">
        <f>November!$AJ26</f>
        <v>0</v>
      </c>
      <c r="Q26" s="821">
        <f>Dezember!$AJ26</f>
        <v>0</v>
      </c>
      <c r="R26" s="822">
        <f t="shared" si="18"/>
        <v>0</v>
      </c>
      <c r="T26" s="823">
        <f t="shared" si="10"/>
        <v>0</v>
      </c>
      <c r="U26" s="823">
        <f t="shared" si="11"/>
        <v>0</v>
      </c>
      <c r="V26" s="823">
        <f t="shared" si="12"/>
        <v>0</v>
      </c>
      <c r="W26" s="823">
        <f t="shared" si="13"/>
        <v>0</v>
      </c>
      <c r="X26" s="15">
        <f t="shared" si="17"/>
        <v>24</v>
      </c>
      <c r="Y26" s="823">
        <f t="shared" si="14"/>
        <v>0</v>
      </c>
      <c r="Z26" s="973" t="str">
        <f t="shared" si="19"/>
        <v>Unfall</v>
      </c>
      <c r="AA26" s="823">
        <f t="shared" si="15"/>
        <v>0</v>
      </c>
      <c r="AB26" s="823">
        <f t="shared" si="16"/>
        <v>0</v>
      </c>
      <c r="AC26" s="823"/>
    </row>
    <row r="27" spans="1:29" s="30" customFormat="1" x14ac:dyDescent="0.2">
      <c r="A27" s="13" t="s">
        <v>278</v>
      </c>
      <c r="D27" s="1218" t="s">
        <v>222</v>
      </c>
      <c r="E27" s="1219"/>
      <c r="F27" s="821">
        <f>Januar!$AJ27</f>
        <v>0</v>
      </c>
      <c r="G27" s="821">
        <f>Februar!$AJ27</f>
        <v>0</v>
      </c>
      <c r="H27" s="821">
        <f>Maerz!$AJ27</f>
        <v>0</v>
      </c>
      <c r="I27" s="821">
        <f>April!$AJ27</f>
        <v>0</v>
      </c>
      <c r="J27" s="821">
        <f>Mai!$AJ27</f>
        <v>0</v>
      </c>
      <c r="K27" s="821">
        <f>Juni!$AJ27</f>
        <v>0</v>
      </c>
      <c r="L27" s="821">
        <f>Juli!$AJ27</f>
        <v>0</v>
      </c>
      <c r="M27" s="821">
        <f>August!$AJ27</f>
        <v>0</v>
      </c>
      <c r="N27" s="821">
        <f>September!$AJ27</f>
        <v>0</v>
      </c>
      <c r="O27" s="821">
        <f>Oktober!$AJ27</f>
        <v>0</v>
      </c>
      <c r="P27" s="821">
        <f>November!$AJ27</f>
        <v>0</v>
      </c>
      <c r="Q27" s="821">
        <f>Dezember!$AJ27</f>
        <v>0</v>
      </c>
      <c r="R27" s="822">
        <f t="shared" si="18"/>
        <v>0</v>
      </c>
      <c r="T27" s="823">
        <f t="shared" si="10"/>
        <v>0</v>
      </c>
      <c r="U27" s="823">
        <f t="shared" si="11"/>
        <v>0</v>
      </c>
      <c r="V27" s="823">
        <f t="shared" si="12"/>
        <v>0</v>
      </c>
      <c r="W27" s="823">
        <f t="shared" si="13"/>
        <v>0</v>
      </c>
      <c r="X27" s="15">
        <f t="shared" si="17"/>
        <v>25</v>
      </c>
      <c r="Y27" s="823">
        <f t="shared" si="14"/>
        <v>0</v>
      </c>
      <c r="Z27" s="973" t="str">
        <f t="shared" si="19"/>
        <v>Militär / Zivildienst</v>
      </c>
      <c r="AA27" s="823">
        <f t="shared" si="15"/>
        <v>0</v>
      </c>
      <c r="AB27" s="823">
        <f t="shared" si="16"/>
        <v>0</v>
      </c>
      <c r="AC27" s="823"/>
    </row>
    <row r="28" spans="1:29" s="30" customFormat="1" hidden="1" outlineLevel="1" x14ac:dyDescent="0.2">
      <c r="A28" s="30" t="s">
        <v>279</v>
      </c>
      <c r="D28" s="1218" t="s">
        <v>280</v>
      </c>
      <c r="E28" s="1219"/>
      <c r="F28" s="821">
        <f>Januar!$AJ28</f>
        <v>0</v>
      </c>
      <c r="G28" s="821">
        <f>Februar!$AJ28</f>
        <v>0</v>
      </c>
      <c r="H28" s="821">
        <f>Maerz!$AJ28</f>
        <v>0</v>
      </c>
      <c r="I28" s="821">
        <f>April!$AJ28</f>
        <v>0</v>
      </c>
      <c r="J28" s="821">
        <f>Mai!$AJ28</f>
        <v>0</v>
      </c>
      <c r="K28" s="821">
        <f>Juni!$AJ28</f>
        <v>0</v>
      </c>
      <c r="L28" s="821">
        <f>Juli!$AJ28</f>
        <v>0</v>
      </c>
      <c r="M28" s="821">
        <f>August!$AJ28</f>
        <v>0</v>
      </c>
      <c r="N28" s="821">
        <f>September!$AJ28</f>
        <v>0</v>
      </c>
      <c r="O28" s="821">
        <f>Oktober!$AJ28</f>
        <v>0</v>
      </c>
      <c r="P28" s="821">
        <f>November!$AJ28</f>
        <v>0</v>
      </c>
      <c r="Q28" s="821">
        <f>Dezember!$AJ28</f>
        <v>0</v>
      </c>
      <c r="R28" s="822">
        <f t="shared" si="18"/>
        <v>0</v>
      </c>
      <c r="T28" s="823">
        <f t="shared" si="10"/>
        <v>0</v>
      </c>
      <c r="U28" s="823">
        <f t="shared" si="11"/>
        <v>0</v>
      </c>
      <c r="V28" s="823">
        <f t="shared" si="12"/>
        <v>0</v>
      </c>
      <c r="W28" s="823">
        <f t="shared" si="13"/>
        <v>0</v>
      </c>
      <c r="X28" s="15">
        <f t="shared" si="17"/>
        <v>26</v>
      </c>
      <c r="Y28" s="823">
        <f t="shared" si="14"/>
        <v>0</v>
      </c>
      <c r="Z28" s="973" t="str">
        <f t="shared" si="19"/>
        <v>Nichtberufsunfall</v>
      </c>
      <c r="AA28" s="823">
        <f t="shared" si="15"/>
        <v>0</v>
      </c>
      <c r="AB28" s="823">
        <f t="shared" si="16"/>
        <v>0</v>
      </c>
      <c r="AC28" s="823"/>
    </row>
    <row r="29" spans="1:29" s="30" customFormat="1" collapsed="1" x14ac:dyDescent="0.2">
      <c r="A29" s="13" t="s">
        <v>281</v>
      </c>
      <c r="D29" s="1218" t="s">
        <v>227</v>
      </c>
      <c r="E29" s="1219"/>
      <c r="F29" s="821">
        <f>Januar!$AJ29</f>
        <v>0</v>
      </c>
      <c r="G29" s="821">
        <f>Februar!$AJ29</f>
        <v>0</v>
      </c>
      <c r="H29" s="821">
        <f>Maerz!$AJ29</f>
        <v>0</v>
      </c>
      <c r="I29" s="821">
        <f>April!$AJ29</f>
        <v>0</v>
      </c>
      <c r="J29" s="821">
        <f>Mai!$AJ29</f>
        <v>0</v>
      </c>
      <c r="K29" s="821">
        <f>Juni!$AJ29</f>
        <v>0</v>
      </c>
      <c r="L29" s="821">
        <f>Juli!$AJ29</f>
        <v>0</v>
      </c>
      <c r="M29" s="821">
        <f>August!$AJ29</f>
        <v>0</v>
      </c>
      <c r="N29" s="821">
        <f>September!$AJ29</f>
        <v>0</v>
      </c>
      <c r="O29" s="821">
        <f>Oktober!$AJ29</f>
        <v>0</v>
      </c>
      <c r="P29" s="821">
        <f>November!$AJ29</f>
        <v>0</v>
      </c>
      <c r="Q29" s="821">
        <f>Dezember!$AJ29</f>
        <v>0</v>
      </c>
      <c r="R29" s="822">
        <f t="shared" si="18"/>
        <v>0</v>
      </c>
      <c r="T29" s="823">
        <f t="shared" si="10"/>
        <v>0</v>
      </c>
      <c r="U29" s="823">
        <f t="shared" si="11"/>
        <v>0</v>
      </c>
      <c r="V29" s="823">
        <f t="shared" si="12"/>
        <v>0</v>
      </c>
      <c r="W29" s="823">
        <f t="shared" si="13"/>
        <v>0</v>
      </c>
      <c r="X29" s="15">
        <f t="shared" si="17"/>
        <v>27</v>
      </c>
      <c r="Y29" s="823">
        <f t="shared" si="14"/>
        <v>0</v>
      </c>
      <c r="Z29" s="973" t="str">
        <f t="shared" si="19"/>
        <v>Weiterbildung</v>
      </c>
      <c r="AA29" s="823">
        <f t="shared" si="15"/>
        <v>0</v>
      </c>
      <c r="AB29" s="823">
        <f t="shared" si="16"/>
        <v>0</v>
      </c>
      <c r="AC29" s="823"/>
    </row>
    <row r="30" spans="1:29" s="30" customFormat="1" x14ac:dyDescent="0.2">
      <c r="A30" s="30" t="s">
        <v>282</v>
      </c>
      <c r="D30" s="1218" t="s">
        <v>231</v>
      </c>
      <c r="E30" s="1219"/>
      <c r="F30" s="821">
        <f>Januar!$AJ30</f>
        <v>0</v>
      </c>
      <c r="G30" s="821">
        <f>Februar!$AJ30</f>
        <v>0</v>
      </c>
      <c r="H30" s="821">
        <f>Maerz!$AJ30</f>
        <v>0</v>
      </c>
      <c r="I30" s="821">
        <f>April!$AJ30</f>
        <v>0</v>
      </c>
      <c r="J30" s="821">
        <f>Mai!$AJ30</f>
        <v>0</v>
      </c>
      <c r="K30" s="821">
        <f>Juni!$AJ30</f>
        <v>0</v>
      </c>
      <c r="L30" s="821">
        <f>Juli!$AJ30</f>
        <v>0</v>
      </c>
      <c r="M30" s="821">
        <f>August!$AJ30</f>
        <v>0</v>
      </c>
      <c r="N30" s="821">
        <f>September!$AJ30</f>
        <v>0</v>
      </c>
      <c r="O30" s="821">
        <f>Oktober!$AJ30</f>
        <v>0</v>
      </c>
      <c r="P30" s="821">
        <f>November!$AJ30</f>
        <v>0</v>
      </c>
      <c r="Q30" s="821">
        <f>Dezember!$AJ30</f>
        <v>0</v>
      </c>
      <c r="R30" s="822">
        <f t="shared" si="18"/>
        <v>0</v>
      </c>
      <c r="T30" s="823">
        <f t="shared" si="10"/>
        <v>0</v>
      </c>
      <c r="U30" s="823">
        <f t="shared" si="11"/>
        <v>0</v>
      </c>
      <c r="V30" s="823">
        <f t="shared" si="12"/>
        <v>0</v>
      </c>
      <c r="W30" s="823">
        <f t="shared" si="13"/>
        <v>0</v>
      </c>
      <c r="X30" s="15">
        <f t="shared" si="17"/>
        <v>28</v>
      </c>
      <c r="Y30" s="823">
        <f t="shared" si="14"/>
        <v>0</v>
      </c>
      <c r="Z30" s="973" t="str">
        <f t="shared" si="19"/>
        <v>Unbezahlter Urlaub</v>
      </c>
      <c r="AA30" s="823">
        <f t="shared" si="15"/>
        <v>0</v>
      </c>
      <c r="AB30" s="823">
        <f t="shared" si="16"/>
        <v>0</v>
      </c>
      <c r="AC30" s="823"/>
    </row>
    <row r="31" spans="1:29" s="30" customFormat="1" x14ac:dyDescent="0.2">
      <c r="A31" s="13" t="s">
        <v>283</v>
      </c>
      <c r="D31" s="1218" t="s">
        <v>235</v>
      </c>
      <c r="E31" s="1219"/>
      <c r="F31" s="821">
        <f>Januar!$AJ31</f>
        <v>0</v>
      </c>
      <c r="G31" s="821">
        <f>Februar!$AJ31</f>
        <v>0</v>
      </c>
      <c r="H31" s="821">
        <f>Maerz!$AJ31</f>
        <v>0</v>
      </c>
      <c r="I31" s="821">
        <f>April!$AJ31</f>
        <v>0</v>
      </c>
      <c r="J31" s="821">
        <f>Mai!$AJ31</f>
        <v>0</v>
      </c>
      <c r="K31" s="821">
        <f>Juni!$AJ31</f>
        <v>0</v>
      </c>
      <c r="L31" s="821">
        <f>Juli!$AJ31</f>
        <v>0</v>
      </c>
      <c r="M31" s="821">
        <f>August!$AJ31</f>
        <v>0</v>
      </c>
      <c r="N31" s="821">
        <f>September!$AJ31</f>
        <v>0</v>
      </c>
      <c r="O31" s="821">
        <f>Oktober!$AJ31</f>
        <v>0</v>
      </c>
      <c r="P31" s="821">
        <f>November!$AJ31</f>
        <v>0</v>
      </c>
      <c r="Q31" s="821">
        <f>Dezember!$AJ31</f>
        <v>0</v>
      </c>
      <c r="R31" s="822">
        <f t="shared" si="18"/>
        <v>0</v>
      </c>
      <c r="T31" s="823">
        <f t="shared" si="10"/>
        <v>0</v>
      </c>
      <c r="U31" s="823">
        <f t="shared" si="11"/>
        <v>0</v>
      </c>
      <c r="V31" s="823">
        <f t="shared" si="12"/>
        <v>0</v>
      </c>
      <c r="W31" s="823">
        <f t="shared" si="13"/>
        <v>0</v>
      </c>
      <c r="X31" s="15">
        <f t="shared" si="17"/>
        <v>29</v>
      </c>
      <c r="Y31" s="823">
        <f t="shared" si="14"/>
        <v>0</v>
      </c>
      <c r="Z31" s="973" t="str">
        <f t="shared" si="19"/>
        <v>Bezahlter Urlaub</v>
      </c>
      <c r="AA31" s="823">
        <f t="shared" si="15"/>
        <v>0</v>
      </c>
      <c r="AB31" s="823">
        <f t="shared" si="16"/>
        <v>0</v>
      </c>
      <c r="AC31" s="823"/>
    </row>
    <row r="32" spans="1:29" s="30" customFormat="1" x14ac:dyDescent="0.2">
      <c r="A32" s="30" t="s">
        <v>284</v>
      </c>
      <c r="D32" s="1220" t="s">
        <v>239</v>
      </c>
      <c r="E32" s="1221"/>
      <c r="F32" s="824">
        <f>Januar!$AJ32</f>
        <v>0</v>
      </c>
      <c r="G32" s="824">
        <f>Februar!$AJ32</f>
        <v>0</v>
      </c>
      <c r="H32" s="824">
        <f>Maerz!$AJ32</f>
        <v>0</v>
      </c>
      <c r="I32" s="824">
        <f>April!$AJ32</f>
        <v>0</v>
      </c>
      <c r="J32" s="824">
        <f>Mai!$AJ32</f>
        <v>0</v>
      </c>
      <c r="K32" s="824">
        <f>Juni!$AJ32</f>
        <v>0</v>
      </c>
      <c r="L32" s="824">
        <f>Juli!$AJ32</f>
        <v>0</v>
      </c>
      <c r="M32" s="824">
        <f>August!$AJ32</f>
        <v>0</v>
      </c>
      <c r="N32" s="824">
        <f>September!$AJ32</f>
        <v>0</v>
      </c>
      <c r="O32" s="824">
        <f>Oktober!$AJ32</f>
        <v>0</v>
      </c>
      <c r="P32" s="824">
        <f>November!$AJ32</f>
        <v>0</v>
      </c>
      <c r="Q32" s="824">
        <f>Dezember!$AJ32</f>
        <v>0</v>
      </c>
      <c r="R32" s="825">
        <f t="shared" si="18"/>
        <v>0</v>
      </c>
      <c r="T32" s="826">
        <f t="shared" si="10"/>
        <v>0</v>
      </c>
      <c r="U32" s="826">
        <f t="shared" si="11"/>
        <v>0</v>
      </c>
      <c r="V32" s="826">
        <f t="shared" si="12"/>
        <v>0</v>
      </c>
      <c r="W32" s="826">
        <f t="shared" si="13"/>
        <v>0</v>
      </c>
      <c r="X32" s="15">
        <f t="shared" si="17"/>
        <v>30</v>
      </c>
      <c r="Y32" s="826">
        <f t="shared" si="14"/>
        <v>0</v>
      </c>
      <c r="Z32" s="973" t="str">
        <f t="shared" si="19"/>
        <v>Kaderarbeitszeit</v>
      </c>
      <c r="AA32" s="826">
        <f t="shared" si="15"/>
        <v>0</v>
      </c>
      <c r="AB32" s="826">
        <f t="shared" si="16"/>
        <v>0</v>
      </c>
      <c r="AC32" s="826"/>
    </row>
    <row r="33" spans="1:29" s="30" customFormat="1" ht="22.5" hidden="1" customHeight="1" outlineLevel="1" x14ac:dyDescent="0.2">
      <c r="A33" s="13" t="s">
        <v>285</v>
      </c>
      <c r="B33" s="305"/>
      <c r="C33" s="303"/>
      <c r="D33" s="1222" t="s">
        <v>286</v>
      </c>
      <c r="E33" s="1223"/>
      <c r="F33" s="315">
        <f>Januar!$AK22</f>
        <v>8.0500000000000007</v>
      </c>
      <c r="G33" s="315">
        <f>Februar!$AK22</f>
        <v>8.0500000000000007</v>
      </c>
      <c r="H33" s="315">
        <f>Maerz!$AK22</f>
        <v>8.0500000000000007</v>
      </c>
      <c r="I33" s="315">
        <f>April!$AK22</f>
        <v>8.0500000000000007</v>
      </c>
      <c r="J33" s="315">
        <f>Mai!$AK22</f>
        <v>8.0500000000000007</v>
      </c>
      <c r="K33" s="315">
        <f>Juni!$AK22</f>
        <v>8.0500000000000007</v>
      </c>
      <c r="L33" s="315">
        <f>Juli!$AK22</f>
        <v>8.0500000000000007</v>
      </c>
      <c r="M33" s="315">
        <f>August!$AK22</f>
        <v>8.0500000000000007</v>
      </c>
      <c r="N33" s="315">
        <f>September!$AK22</f>
        <v>8.0500000000000007</v>
      </c>
      <c r="O33" s="315">
        <f>Oktober!$AK22</f>
        <v>8.0500000000000007</v>
      </c>
      <c r="P33" s="315">
        <f>November!$AK22</f>
        <v>8.0500000000000007</v>
      </c>
      <c r="Q33" s="315">
        <f>Dezember!$AK22</f>
        <v>8.0500000000000007</v>
      </c>
      <c r="R33" s="827">
        <f>Q33</f>
        <v>8.0500000000000007</v>
      </c>
      <c r="T33" s="151">
        <f>H33</f>
        <v>8.0500000000000007</v>
      </c>
      <c r="U33" s="828">
        <f>K33</f>
        <v>8.0500000000000007</v>
      </c>
      <c r="V33" s="828">
        <f>N33</f>
        <v>8.0500000000000007</v>
      </c>
      <c r="W33" s="829">
        <f>Q33</f>
        <v>8.0500000000000007</v>
      </c>
      <c r="X33" s="15">
        <f t="shared" si="17"/>
        <v>31</v>
      </c>
      <c r="Y33" s="828">
        <f t="shared" si="14"/>
        <v>8.0500000000000007</v>
      </c>
      <c r="Z33" s="973" t="str">
        <f t="shared" si="19"/>
        <v>Ferienguthaben</v>
      </c>
      <c r="AA33" s="828">
        <f t="shared" si="15"/>
        <v>8.0500000000000007</v>
      </c>
      <c r="AB33" s="828">
        <f t="shared" si="16"/>
        <v>8.0500000000000007</v>
      </c>
      <c r="AC33" s="828"/>
    </row>
    <row r="34" spans="1:29" s="30" customFormat="1" ht="22.5" hidden="1" customHeight="1" outlineLevel="1" x14ac:dyDescent="0.2">
      <c r="A34" s="30" t="s">
        <v>287</v>
      </c>
      <c r="B34" s="305"/>
      <c r="C34" s="303"/>
      <c r="D34" s="1218" t="s">
        <v>288</v>
      </c>
      <c r="E34" s="1219"/>
      <c r="F34" s="313">
        <f>Januar!$AJ34</f>
        <v>0</v>
      </c>
      <c r="G34" s="313">
        <f>Februar!$AJ34</f>
        <v>0</v>
      </c>
      <c r="H34" s="313">
        <f>Maerz!$AJ34</f>
        <v>0</v>
      </c>
      <c r="I34" s="313">
        <f>April!$AJ34</f>
        <v>0</v>
      </c>
      <c r="J34" s="313">
        <f>Mai!$AJ34</f>
        <v>0</v>
      </c>
      <c r="K34" s="313">
        <f>Juni!$AJ34</f>
        <v>0</v>
      </c>
      <c r="L34" s="313">
        <f>Juli!$AJ34</f>
        <v>0</v>
      </c>
      <c r="M34" s="313">
        <f>August!$AJ34</f>
        <v>0</v>
      </c>
      <c r="N34" s="313">
        <f>September!$AJ34</f>
        <v>0</v>
      </c>
      <c r="O34" s="313">
        <f>Oktober!$AJ34</f>
        <v>0</v>
      </c>
      <c r="P34" s="313">
        <f>November!$AJ34</f>
        <v>0</v>
      </c>
      <c r="Q34" s="313">
        <f>Dezember!$AJ34</f>
        <v>0</v>
      </c>
      <c r="R34" s="830">
        <f t="shared" si="18"/>
        <v>0</v>
      </c>
      <c r="T34" s="151">
        <f t="shared" si="10"/>
        <v>0</v>
      </c>
      <c r="U34" s="828">
        <f t="shared" si="11"/>
        <v>0</v>
      </c>
      <c r="V34" s="828">
        <f t="shared" si="12"/>
        <v>0</v>
      </c>
      <c r="W34" s="829">
        <f t="shared" si="13"/>
        <v>0</v>
      </c>
      <c r="X34" s="15">
        <f t="shared" si="17"/>
        <v>32</v>
      </c>
      <c r="Y34" s="828">
        <f t="shared" si="14"/>
        <v>0</v>
      </c>
      <c r="Z34" s="973" t="str">
        <f t="shared" si="19"/>
        <v>D A G</v>
      </c>
      <c r="AA34" s="828">
        <f t="shared" si="15"/>
        <v>0</v>
      </c>
      <c r="AB34" s="828">
        <f t="shared" si="16"/>
        <v>0</v>
      </c>
      <c r="AC34" s="828"/>
    </row>
    <row r="35" spans="1:29" s="30" customFormat="1" ht="22.5" hidden="1" customHeight="1" outlineLevel="1" x14ac:dyDescent="0.2">
      <c r="A35" s="13" t="s">
        <v>289</v>
      </c>
      <c r="B35" s="305"/>
      <c r="C35" s="303"/>
      <c r="D35" s="1218" t="s">
        <v>164</v>
      </c>
      <c r="E35" s="1219"/>
      <c r="F35" s="313">
        <f>Januar!$AJ35</f>
        <v>0</v>
      </c>
      <c r="G35" s="313">
        <f>Februar!$AJ35</f>
        <v>0</v>
      </c>
      <c r="H35" s="313">
        <f>Maerz!$AJ35</f>
        <v>0</v>
      </c>
      <c r="I35" s="313">
        <f>April!$AJ35</f>
        <v>0</v>
      </c>
      <c r="J35" s="313">
        <f>Mai!$AJ35</f>
        <v>0</v>
      </c>
      <c r="K35" s="313">
        <f>Juni!$AJ35</f>
        <v>0</v>
      </c>
      <c r="L35" s="313">
        <f>Juli!$AJ35</f>
        <v>0</v>
      </c>
      <c r="M35" s="313">
        <f>August!$AJ35</f>
        <v>0</v>
      </c>
      <c r="N35" s="313">
        <f>September!$AJ35</f>
        <v>0</v>
      </c>
      <c r="O35" s="313">
        <f>Oktober!$AJ35</f>
        <v>0</v>
      </c>
      <c r="P35" s="313">
        <f>November!$AJ35</f>
        <v>0</v>
      </c>
      <c r="Q35" s="313">
        <f>Dezember!$AJ35</f>
        <v>0</v>
      </c>
      <c r="R35" s="830">
        <f t="shared" si="18"/>
        <v>0</v>
      </c>
      <c r="T35" s="151">
        <f t="shared" si="10"/>
        <v>0</v>
      </c>
      <c r="U35" s="828">
        <f t="shared" si="11"/>
        <v>0</v>
      </c>
      <c r="V35" s="828">
        <f t="shared" si="12"/>
        <v>0</v>
      </c>
      <c r="W35" s="829">
        <f t="shared" si="13"/>
        <v>0</v>
      </c>
      <c r="X35" s="15">
        <f t="shared" si="17"/>
        <v>33</v>
      </c>
      <c r="Y35" s="828">
        <f t="shared" si="14"/>
        <v>0</v>
      </c>
      <c r="Z35" s="973" t="str">
        <f t="shared" si="19"/>
        <v>Diverses</v>
      </c>
      <c r="AA35" s="828">
        <f t="shared" si="15"/>
        <v>0</v>
      </c>
      <c r="AB35" s="828">
        <f t="shared" si="16"/>
        <v>0</v>
      </c>
      <c r="AC35" s="828"/>
    </row>
    <row r="36" spans="1:29" s="30" customFormat="1" ht="22.5" hidden="1" customHeight="1" outlineLevel="1" x14ac:dyDescent="0.2">
      <c r="A36" s="30" t="s">
        <v>290</v>
      </c>
      <c r="B36" s="305"/>
      <c r="C36" s="303"/>
      <c r="D36" s="1218" t="s">
        <v>291</v>
      </c>
      <c r="E36" s="1219"/>
      <c r="F36" s="313">
        <f>Januar!$AJ36</f>
        <v>0</v>
      </c>
      <c r="G36" s="313">
        <f>Februar!$AJ36</f>
        <v>0</v>
      </c>
      <c r="H36" s="313">
        <f>Maerz!$AJ36</f>
        <v>0</v>
      </c>
      <c r="I36" s="313">
        <f>April!$AJ36</f>
        <v>0</v>
      </c>
      <c r="J36" s="313">
        <f>Mai!$AJ36</f>
        <v>0</v>
      </c>
      <c r="K36" s="313">
        <f>Juni!$AJ36</f>
        <v>0</v>
      </c>
      <c r="L36" s="313">
        <f>Juli!$AJ36</f>
        <v>0</v>
      </c>
      <c r="M36" s="313">
        <f>August!$AJ36</f>
        <v>0</v>
      </c>
      <c r="N36" s="313">
        <f>September!$AJ36</f>
        <v>0</v>
      </c>
      <c r="O36" s="313">
        <f>Oktober!$AJ36</f>
        <v>0</v>
      </c>
      <c r="P36" s="313">
        <f>November!$AJ36</f>
        <v>0</v>
      </c>
      <c r="Q36" s="313">
        <f>Dezember!$AJ36</f>
        <v>0</v>
      </c>
      <c r="R36" s="830">
        <f t="shared" si="18"/>
        <v>0</v>
      </c>
      <c r="T36" s="151">
        <f t="shared" si="10"/>
        <v>0</v>
      </c>
      <c r="U36" s="828">
        <f t="shared" si="11"/>
        <v>0</v>
      </c>
      <c r="V36" s="828">
        <f t="shared" si="12"/>
        <v>0</v>
      </c>
      <c r="W36" s="829">
        <f t="shared" si="13"/>
        <v>0</v>
      </c>
      <c r="X36" s="15">
        <f t="shared" si="17"/>
        <v>34</v>
      </c>
      <c r="Y36" s="828">
        <f t="shared" si="14"/>
        <v>0</v>
      </c>
      <c r="Z36" s="973" t="str">
        <f t="shared" si="19"/>
        <v>freie Zeile 1</v>
      </c>
      <c r="AA36" s="828">
        <f t="shared" si="15"/>
        <v>0</v>
      </c>
      <c r="AB36" s="828">
        <f t="shared" si="16"/>
        <v>0</v>
      </c>
      <c r="AC36" s="828"/>
    </row>
    <row r="37" spans="1:29" s="30" customFormat="1" ht="22.5" hidden="1" customHeight="1" outlineLevel="1" x14ac:dyDescent="0.2">
      <c r="A37" s="13" t="s">
        <v>292</v>
      </c>
      <c r="B37" s="305"/>
      <c r="C37" s="303"/>
      <c r="D37" s="1218" t="s">
        <v>293</v>
      </c>
      <c r="E37" s="1219"/>
      <c r="F37" s="313">
        <f>Januar!$AJ37</f>
        <v>0</v>
      </c>
      <c r="G37" s="313">
        <f>Februar!$AJ37</f>
        <v>0</v>
      </c>
      <c r="H37" s="313">
        <f>Maerz!$AJ37</f>
        <v>0</v>
      </c>
      <c r="I37" s="313">
        <f>April!$AJ37</f>
        <v>0</v>
      </c>
      <c r="J37" s="313">
        <f>Mai!$AJ37</f>
        <v>0</v>
      </c>
      <c r="K37" s="313">
        <f>Juni!$AJ37</f>
        <v>0</v>
      </c>
      <c r="L37" s="313">
        <f>Juli!$AJ37</f>
        <v>0</v>
      </c>
      <c r="M37" s="313">
        <f>August!$AJ37</f>
        <v>0</v>
      </c>
      <c r="N37" s="313">
        <f>September!$AJ37</f>
        <v>0</v>
      </c>
      <c r="O37" s="313">
        <f>Oktober!$AJ37</f>
        <v>0</v>
      </c>
      <c r="P37" s="313">
        <f>November!$AJ37</f>
        <v>0</v>
      </c>
      <c r="Q37" s="313">
        <f>Dezember!$AJ37</f>
        <v>0</v>
      </c>
      <c r="R37" s="830">
        <f t="shared" si="18"/>
        <v>0</v>
      </c>
      <c r="T37" s="151">
        <f t="shared" si="10"/>
        <v>0</v>
      </c>
      <c r="U37" s="828">
        <f t="shared" si="11"/>
        <v>0</v>
      </c>
      <c r="V37" s="828">
        <f t="shared" si="12"/>
        <v>0</v>
      </c>
      <c r="W37" s="829">
        <f t="shared" si="13"/>
        <v>0</v>
      </c>
      <c r="X37" s="15">
        <f t="shared" si="17"/>
        <v>35</v>
      </c>
      <c r="Y37" s="828">
        <f t="shared" si="14"/>
        <v>0</v>
      </c>
      <c r="Z37" s="973" t="str">
        <f t="shared" si="19"/>
        <v>freie Zeile 2</v>
      </c>
      <c r="AA37" s="828">
        <f t="shared" si="15"/>
        <v>0</v>
      </c>
      <c r="AB37" s="828">
        <f t="shared" si="16"/>
        <v>0</v>
      </c>
      <c r="AC37" s="828"/>
    </row>
    <row r="38" spans="1:29" s="30" customFormat="1" ht="22.5" hidden="1" customHeight="1" outlineLevel="1" x14ac:dyDescent="0.2">
      <c r="A38" s="30" t="s">
        <v>294</v>
      </c>
      <c r="B38" s="305"/>
      <c r="C38" s="303"/>
      <c r="D38" s="1220" t="s">
        <v>295</v>
      </c>
      <c r="E38" s="1221"/>
      <c r="F38" s="314">
        <f>Januar!$AJ38</f>
        <v>0</v>
      </c>
      <c r="G38" s="314">
        <f>Februar!$AJ38</f>
        <v>0</v>
      </c>
      <c r="H38" s="314">
        <f>Maerz!$AJ38</f>
        <v>0</v>
      </c>
      <c r="I38" s="314">
        <f>April!$AJ38</f>
        <v>0</v>
      </c>
      <c r="J38" s="314">
        <f>Mai!$AJ38</f>
        <v>0</v>
      </c>
      <c r="K38" s="314">
        <f>Juni!$AJ38</f>
        <v>0</v>
      </c>
      <c r="L38" s="314">
        <f>Juli!$AJ38</f>
        <v>0</v>
      </c>
      <c r="M38" s="314">
        <f>August!$AJ38</f>
        <v>0</v>
      </c>
      <c r="N38" s="314">
        <f>September!$AJ38</f>
        <v>0</v>
      </c>
      <c r="O38" s="314">
        <f>Oktober!$AJ38</f>
        <v>0</v>
      </c>
      <c r="P38" s="314">
        <f>November!$AJ38</f>
        <v>0</v>
      </c>
      <c r="Q38" s="314">
        <f>Dezember!$AJ38</f>
        <v>0</v>
      </c>
      <c r="R38" s="804">
        <f t="shared" si="18"/>
        <v>0</v>
      </c>
      <c r="T38" s="163">
        <f t="shared" si="10"/>
        <v>0</v>
      </c>
      <c r="U38" s="831">
        <f t="shared" si="11"/>
        <v>0</v>
      </c>
      <c r="V38" s="831">
        <f t="shared" si="12"/>
        <v>0</v>
      </c>
      <c r="W38" s="832">
        <f t="shared" si="13"/>
        <v>0</v>
      </c>
      <c r="X38" s="15">
        <f t="shared" si="17"/>
        <v>36</v>
      </c>
      <c r="Y38" s="831">
        <f t="shared" si="14"/>
        <v>0</v>
      </c>
      <c r="Z38" s="973" t="str">
        <f t="shared" si="19"/>
        <v>freie Zeile 3</v>
      </c>
      <c r="AA38" s="831">
        <f t="shared" si="15"/>
        <v>0</v>
      </c>
      <c r="AB38" s="831">
        <f t="shared" si="16"/>
        <v>0</v>
      </c>
      <c r="AC38" s="831"/>
    </row>
    <row r="39" spans="1:29" s="34" customFormat="1" ht="22.5" hidden="1" customHeight="1" outlineLevel="1" x14ac:dyDescent="0.2">
      <c r="A39" s="13" t="s">
        <v>296</v>
      </c>
      <c r="B39" s="306"/>
      <c r="C39" s="306"/>
      <c r="D39" s="1224" t="s">
        <v>297</v>
      </c>
      <c r="E39" s="1225"/>
      <c r="F39" s="974">
        <f>Januar!$AJ39</f>
        <v>0</v>
      </c>
      <c r="G39" s="974">
        <f>Februar!$AJ39</f>
        <v>0</v>
      </c>
      <c r="H39" s="974">
        <f>Maerz!$AJ39</f>
        <v>0</v>
      </c>
      <c r="I39" s="974">
        <f>April!$AJ39</f>
        <v>0</v>
      </c>
      <c r="J39" s="974">
        <f>Mai!$AJ39</f>
        <v>0</v>
      </c>
      <c r="K39" s="974">
        <f>Juni!$AJ39</f>
        <v>0</v>
      </c>
      <c r="L39" s="974">
        <f>Juli!$AJ39</f>
        <v>0</v>
      </c>
      <c r="M39" s="974">
        <f>August!$AJ39</f>
        <v>0</v>
      </c>
      <c r="N39" s="974">
        <f>September!$AJ39</f>
        <v>0</v>
      </c>
      <c r="O39" s="974">
        <f>Oktober!$AJ39</f>
        <v>0</v>
      </c>
      <c r="P39" s="974">
        <f>November!$AJ39</f>
        <v>0</v>
      </c>
      <c r="Q39" s="974">
        <f>Dezember!$AJ39</f>
        <v>0</v>
      </c>
      <c r="R39" s="975"/>
      <c r="T39" s="976">
        <f t="shared" si="10"/>
        <v>0</v>
      </c>
      <c r="U39" s="977">
        <f t="shared" si="11"/>
        <v>0</v>
      </c>
      <c r="V39" s="977">
        <f t="shared" si="12"/>
        <v>0</v>
      </c>
      <c r="W39" s="978">
        <f t="shared" si="13"/>
        <v>0</v>
      </c>
      <c r="X39" s="15">
        <f t="shared" si="17"/>
        <v>37</v>
      </c>
      <c r="Y39" s="977">
        <f t="shared" si="14"/>
        <v>0</v>
      </c>
      <c r="Z39" s="973" t="str">
        <f t="shared" si="19"/>
        <v>Arbeitszeit aufgeteilt</v>
      </c>
      <c r="AA39" s="977">
        <f t="shared" si="15"/>
        <v>0</v>
      </c>
      <c r="AB39" s="977">
        <f t="shared" si="16"/>
        <v>0</v>
      </c>
      <c r="AC39" s="977"/>
    </row>
    <row r="40" spans="1:29" s="34" customFormat="1" ht="22.5" hidden="1" customHeight="1" outlineLevel="1" x14ac:dyDescent="0.2">
      <c r="A40" s="30" t="s">
        <v>298</v>
      </c>
      <c r="B40" s="306"/>
      <c r="C40" s="306"/>
      <c r="D40" s="1226" t="s">
        <v>299</v>
      </c>
      <c r="E40" s="1227"/>
      <c r="F40" s="833">
        <f>Januar!$AJ40</f>
        <v>0</v>
      </c>
      <c r="G40" s="833">
        <f>Februar!$AJ40</f>
        <v>0</v>
      </c>
      <c r="H40" s="833">
        <f>Maerz!$AJ40</f>
        <v>0</v>
      </c>
      <c r="I40" s="833">
        <f>April!$AJ40</f>
        <v>0</v>
      </c>
      <c r="J40" s="833">
        <f>Mai!$AJ40</f>
        <v>0</v>
      </c>
      <c r="K40" s="833">
        <f>Juni!$AJ40</f>
        <v>0</v>
      </c>
      <c r="L40" s="833">
        <f>Juli!$AJ40</f>
        <v>0</v>
      </c>
      <c r="M40" s="833">
        <f>August!$AJ40</f>
        <v>0</v>
      </c>
      <c r="N40" s="833">
        <f>September!$AJ40</f>
        <v>0</v>
      </c>
      <c r="O40" s="833">
        <f>Oktober!$AJ40</f>
        <v>0</v>
      </c>
      <c r="P40" s="833">
        <f>November!$AJ40</f>
        <v>0</v>
      </c>
      <c r="Q40" s="833">
        <f>Dezember!$AJ40</f>
        <v>0</v>
      </c>
      <c r="R40" s="834"/>
      <c r="T40" s="835">
        <f t="shared" si="10"/>
        <v>0</v>
      </c>
      <c r="U40" s="836">
        <f t="shared" si="11"/>
        <v>0</v>
      </c>
      <c r="V40" s="836">
        <f t="shared" si="12"/>
        <v>0</v>
      </c>
      <c r="W40" s="837">
        <f t="shared" si="13"/>
        <v>0</v>
      </c>
      <c r="X40" s="15">
        <f t="shared" si="17"/>
        <v>38</v>
      </c>
      <c r="Y40" s="836">
        <f t="shared" si="14"/>
        <v>0</v>
      </c>
      <c r="Z40" s="973" t="str">
        <f t="shared" si="19"/>
        <v>nicht/zuviel aufgeteilt</v>
      </c>
      <c r="AA40" s="836">
        <f t="shared" si="15"/>
        <v>0</v>
      </c>
      <c r="AB40" s="836">
        <f t="shared" si="16"/>
        <v>0</v>
      </c>
      <c r="AC40" s="836"/>
    </row>
    <row r="41" spans="1:29" s="88" customFormat="1" collapsed="1" x14ac:dyDescent="0.2">
      <c r="A41" s="13" t="s">
        <v>300</v>
      </c>
      <c r="B41" s="185" t="str">
        <f>ctArbeitsgebiete!A9</f>
        <v>A01</v>
      </c>
      <c r="C41" s="30"/>
      <c r="D41" s="1228" t="str">
        <f>IF(ctArbeitsgebiete!B9&lt;&gt;"",ctArbeitsgebiete!B9,"")</f>
        <v/>
      </c>
      <c r="E41" s="1229"/>
      <c r="F41" s="794">
        <f>Januar!$AJ41</f>
        <v>0</v>
      </c>
      <c r="G41" s="794">
        <f>Februar!$AJ41</f>
        <v>0</v>
      </c>
      <c r="H41" s="794">
        <f>Maerz!$AJ41</f>
        <v>0</v>
      </c>
      <c r="I41" s="794">
        <f>April!$AJ41</f>
        <v>0</v>
      </c>
      <c r="J41" s="794">
        <f>Mai!$AJ41</f>
        <v>0</v>
      </c>
      <c r="K41" s="794">
        <f>Juni!$AJ41</f>
        <v>0</v>
      </c>
      <c r="L41" s="794">
        <f>Juli!$AJ41</f>
        <v>0</v>
      </c>
      <c r="M41" s="794">
        <f>August!$AJ41</f>
        <v>0</v>
      </c>
      <c r="N41" s="794">
        <f>September!$AJ41</f>
        <v>0</v>
      </c>
      <c r="O41" s="794">
        <f>Oktober!$AJ41</f>
        <v>0</v>
      </c>
      <c r="P41" s="794">
        <f>November!$AJ41</f>
        <v>0</v>
      </c>
      <c r="Q41" s="794">
        <f>Dezember!$AJ41</f>
        <v>0</v>
      </c>
      <c r="R41" s="979">
        <f t="shared" ref="R41:R85" si="20">SUM(F41:Q41)</f>
        <v>0</v>
      </c>
      <c r="T41" s="980">
        <f t="shared" si="10"/>
        <v>0</v>
      </c>
      <c r="U41" s="980">
        <f t="shared" si="11"/>
        <v>0</v>
      </c>
      <c r="V41" s="980">
        <f t="shared" si="12"/>
        <v>0</v>
      </c>
      <c r="W41" s="980">
        <f t="shared" si="13"/>
        <v>0</v>
      </c>
      <c r="X41" s="15">
        <f t="shared" si="17"/>
        <v>39</v>
      </c>
      <c r="Y41" s="980">
        <f t="shared" si="14"/>
        <v>0</v>
      </c>
      <c r="Z41" s="973" t="str">
        <f t="shared" si="19"/>
        <v/>
      </c>
      <c r="AA41" s="980">
        <f t="shared" si="15"/>
        <v>0</v>
      </c>
      <c r="AB41" s="980">
        <f t="shared" si="16"/>
        <v>0</v>
      </c>
      <c r="AC41" s="980"/>
    </row>
    <row r="42" spans="1:29" s="8" customFormat="1" x14ac:dyDescent="0.2">
      <c r="A42" s="30" t="s">
        <v>301</v>
      </c>
      <c r="B42" s="185" t="str">
        <f>ctArbeitsgebiete!A10</f>
        <v>A02</v>
      </c>
      <c r="C42" s="30"/>
      <c r="D42" s="1216" t="str">
        <f>IF(ctArbeitsgebiete!B10&lt;&gt;"",ctArbeitsgebiete!B10,"")</f>
        <v/>
      </c>
      <c r="E42" s="1217"/>
      <c r="F42" s="794">
        <f>Januar!$AJ42</f>
        <v>0</v>
      </c>
      <c r="G42" s="794">
        <f>Februar!$AJ42</f>
        <v>0</v>
      </c>
      <c r="H42" s="794">
        <f>Maerz!$AJ42</f>
        <v>0</v>
      </c>
      <c r="I42" s="794">
        <f>April!$AJ42</f>
        <v>0</v>
      </c>
      <c r="J42" s="794">
        <f>Mai!$AJ42</f>
        <v>0</v>
      </c>
      <c r="K42" s="794">
        <f>Juni!$AJ42</f>
        <v>0</v>
      </c>
      <c r="L42" s="794">
        <f>Juli!$AJ42</f>
        <v>0</v>
      </c>
      <c r="M42" s="794">
        <f>August!$AJ42</f>
        <v>0</v>
      </c>
      <c r="N42" s="794">
        <f>September!$AJ42</f>
        <v>0</v>
      </c>
      <c r="O42" s="794">
        <f>Oktober!$AJ42</f>
        <v>0</v>
      </c>
      <c r="P42" s="794">
        <f>November!$AJ42</f>
        <v>0</v>
      </c>
      <c r="Q42" s="794">
        <f>Dezember!$AJ42</f>
        <v>0</v>
      </c>
      <c r="R42" s="795">
        <f t="shared" si="20"/>
        <v>0</v>
      </c>
      <c r="T42" s="796">
        <f t="shared" si="10"/>
        <v>0</v>
      </c>
      <c r="U42" s="796">
        <f t="shared" si="11"/>
        <v>0</v>
      </c>
      <c r="V42" s="796">
        <f t="shared" si="12"/>
        <v>0</v>
      </c>
      <c r="W42" s="796">
        <f t="shared" si="13"/>
        <v>0</v>
      </c>
      <c r="X42" s="15">
        <f t="shared" si="17"/>
        <v>40</v>
      </c>
      <c r="Y42" s="796">
        <f t="shared" si="14"/>
        <v>0</v>
      </c>
      <c r="Z42" s="973" t="str">
        <f t="shared" si="19"/>
        <v/>
      </c>
      <c r="AA42" s="796">
        <f t="shared" si="15"/>
        <v>0</v>
      </c>
      <c r="AB42" s="796">
        <f t="shared" si="16"/>
        <v>0</v>
      </c>
      <c r="AC42" s="796"/>
    </row>
    <row r="43" spans="1:29" s="8" customFormat="1" x14ac:dyDescent="0.2">
      <c r="A43" s="13" t="s">
        <v>302</v>
      </c>
      <c r="B43" s="185" t="str">
        <f>ctArbeitsgebiete!A11</f>
        <v>A03</v>
      </c>
      <c r="C43" s="30"/>
      <c r="D43" s="1216" t="str">
        <f>IF(ctArbeitsgebiete!B11&lt;&gt;"",ctArbeitsgebiete!B11,"")</f>
        <v/>
      </c>
      <c r="E43" s="1217"/>
      <c r="F43" s="794">
        <f>Januar!$AJ43</f>
        <v>0</v>
      </c>
      <c r="G43" s="794">
        <f>Februar!$AJ43</f>
        <v>0</v>
      </c>
      <c r="H43" s="794">
        <f>Maerz!$AJ43</f>
        <v>0</v>
      </c>
      <c r="I43" s="794">
        <f>April!$AJ43</f>
        <v>0</v>
      </c>
      <c r="J43" s="794">
        <f>Mai!$AJ43</f>
        <v>0</v>
      </c>
      <c r="K43" s="794">
        <f>Juni!$AJ43</f>
        <v>0</v>
      </c>
      <c r="L43" s="794">
        <f>Juli!$AJ43</f>
        <v>0</v>
      </c>
      <c r="M43" s="794">
        <f>August!$AJ43</f>
        <v>0</v>
      </c>
      <c r="N43" s="794">
        <f>September!$AJ43</f>
        <v>0</v>
      </c>
      <c r="O43" s="794">
        <f>Oktober!$AJ43</f>
        <v>0</v>
      </c>
      <c r="P43" s="794">
        <f>November!$AJ43</f>
        <v>0</v>
      </c>
      <c r="Q43" s="794">
        <f>Dezember!$AJ43</f>
        <v>0</v>
      </c>
      <c r="R43" s="795">
        <f t="shared" si="20"/>
        <v>0</v>
      </c>
      <c r="T43" s="796">
        <f t="shared" si="10"/>
        <v>0</v>
      </c>
      <c r="U43" s="796">
        <f t="shared" si="11"/>
        <v>0</v>
      </c>
      <c r="V43" s="796">
        <f t="shared" si="12"/>
        <v>0</v>
      </c>
      <c r="W43" s="796">
        <f t="shared" si="13"/>
        <v>0</v>
      </c>
      <c r="X43" s="15">
        <f t="shared" si="17"/>
        <v>41</v>
      </c>
      <c r="Y43" s="796">
        <f t="shared" si="14"/>
        <v>0</v>
      </c>
      <c r="Z43" s="973" t="str">
        <f t="shared" si="19"/>
        <v/>
      </c>
      <c r="AA43" s="796">
        <f t="shared" si="15"/>
        <v>0</v>
      </c>
      <c r="AB43" s="796">
        <f t="shared" si="16"/>
        <v>0</v>
      </c>
      <c r="AC43" s="796"/>
    </row>
    <row r="44" spans="1:29" s="8" customFormat="1" x14ac:dyDescent="0.2">
      <c r="A44" s="30" t="s">
        <v>303</v>
      </c>
      <c r="B44" s="185" t="str">
        <f>ctArbeitsgebiete!A12</f>
        <v>A04</v>
      </c>
      <c r="C44" s="30"/>
      <c r="D44" s="1216" t="str">
        <f>IF(ctArbeitsgebiete!B12&lt;&gt;"",ctArbeitsgebiete!B12,"")</f>
        <v/>
      </c>
      <c r="E44" s="1217"/>
      <c r="F44" s="794">
        <f>Januar!$AJ44</f>
        <v>0</v>
      </c>
      <c r="G44" s="794">
        <f>Februar!$AJ44</f>
        <v>0</v>
      </c>
      <c r="H44" s="794">
        <f>Maerz!$AJ44</f>
        <v>0</v>
      </c>
      <c r="I44" s="794">
        <f>April!$AJ44</f>
        <v>0</v>
      </c>
      <c r="J44" s="794">
        <f>Mai!$AJ44</f>
        <v>0</v>
      </c>
      <c r="K44" s="794">
        <f>Juni!$AJ44</f>
        <v>0</v>
      </c>
      <c r="L44" s="794">
        <f>Juli!$AJ44</f>
        <v>0</v>
      </c>
      <c r="M44" s="794">
        <f>August!$AJ44</f>
        <v>0</v>
      </c>
      <c r="N44" s="794">
        <f>September!$AJ44</f>
        <v>0</v>
      </c>
      <c r="O44" s="794">
        <f>Oktober!$AJ44</f>
        <v>0</v>
      </c>
      <c r="P44" s="794">
        <f>November!$AJ44</f>
        <v>0</v>
      </c>
      <c r="Q44" s="794">
        <f>Dezember!$AJ44</f>
        <v>0</v>
      </c>
      <c r="R44" s="795">
        <f t="shared" si="20"/>
        <v>0</v>
      </c>
      <c r="T44" s="796">
        <f t="shared" si="10"/>
        <v>0</v>
      </c>
      <c r="U44" s="796">
        <f t="shared" si="11"/>
        <v>0</v>
      </c>
      <c r="V44" s="796">
        <f t="shared" si="12"/>
        <v>0</v>
      </c>
      <c r="W44" s="796">
        <f t="shared" si="13"/>
        <v>0</v>
      </c>
      <c r="X44" s="15">
        <f t="shared" si="17"/>
        <v>42</v>
      </c>
      <c r="Y44" s="796">
        <f t="shared" si="14"/>
        <v>0</v>
      </c>
      <c r="Z44" s="973" t="str">
        <f t="shared" si="19"/>
        <v/>
      </c>
      <c r="AA44" s="796">
        <f t="shared" si="15"/>
        <v>0</v>
      </c>
      <c r="AB44" s="796">
        <f t="shared" si="16"/>
        <v>0</v>
      </c>
      <c r="AC44" s="796"/>
    </row>
    <row r="45" spans="1:29" s="8" customFormat="1" x14ac:dyDescent="0.2">
      <c r="A45" s="13" t="s">
        <v>304</v>
      </c>
      <c r="B45" s="185" t="str">
        <f>ctArbeitsgebiete!A13</f>
        <v>A05</v>
      </c>
      <c r="C45" s="30"/>
      <c r="D45" s="1216" t="str">
        <f>IF(ctArbeitsgebiete!B13&lt;&gt;"",ctArbeitsgebiete!B13,"")</f>
        <v/>
      </c>
      <c r="E45" s="1217"/>
      <c r="F45" s="794">
        <f>Januar!$AJ45</f>
        <v>0</v>
      </c>
      <c r="G45" s="794">
        <f>Februar!$AJ45</f>
        <v>0</v>
      </c>
      <c r="H45" s="794">
        <f>Maerz!$AJ45</f>
        <v>0</v>
      </c>
      <c r="I45" s="794">
        <f>April!$AJ45</f>
        <v>0</v>
      </c>
      <c r="J45" s="794">
        <f>Mai!$AJ45</f>
        <v>0</v>
      </c>
      <c r="K45" s="794">
        <f>Juni!$AJ45</f>
        <v>0</v>
      </c>
      <c r="L45" s="794">
        <f>Juli!$AJ45</f>
        <v>0</v>
      </c>
      <c r="M45" s="794">
        <f>August!$AJ45</f>
        <v>0</v>
      </c>
      <c r="N45" s="794">
        <f>September!$AJ45</f>
        <v>0</v>
      </c>
      <c r="O45" s="794">
        <f>Oktober!$AJ45</f>
        <v>0</v>
      </c>
      <c r="P45" s="794">
        <f>November!$AJ45</f>
        <v>0</v>
      </c>
      <c r="Q45" s="794">
        <f>Dezember!$AJ45</f>
        <v>0</v>
      </c>
      <c r="R45" s="795">
        <f t="shared" si="20"/>
        <v>0</v>
      </c>
      <c r="T45" s="796">
        <f t="shared" si="10"/>
        <v>0</v>
      </c>
      <c r="U45" s="796">
        <f t="shared" si="11"/>
        <v>0</v>
      </c>
      <c r="V45" s="796">
        <f t="shared" si="12"/>
        <v>0</v>
      </c>
      <c r="W45" s="796">
        <f t="shared" si="13"/>
        <v>0</v>
      </c>
      <c r="X45" s="15">
        <f t="shared" si="17"/>
        <v>43</v>
      </c>
      <c r="Y45" s="796">
        <f t="shared" si="14"/>
        <v>0</v>
      </c>
      <c r="Z45" s="973" t="str">
        <f t="shared" si="19"/>
        <v/>
      </c>
      <c r="AA45" s="796">
        <f t="shared" si="15"/>
        <v>0</v>
      </c>
      <c r="AB45" s="796">
        <f t="shared" si="16"/>
        <v>0</v>
      </c>
      <c r="AC45" s="796"/>
    </row>
    <row r="46" spans="1:29" s="8" customFormat="1" x14ac:dyDescent="0.2">
      <c r="A46" s="30" t="s">
        <v>305</v>
      </c>
      <c r="B46" s="185" t="str">
        <f>ctArbeitsgebiete!A14</f>
        <v>A06</v>
      </c>
      <c r="C46" s="30"/>
      <c r="D46" s="1216" t="str">
        <f>IF(ctArbeitsgebiete!B14&lt;&gt;"",ctArbeitsgebiete!B14,"")</f>
        <v/>
      </c>
      <c r="E46" s="1217"/>
      <c r="F46" s="794">
        <f>Januar!$AJ46</f>
        <v>0</v>
      </c>
      <c r="G46" s="794">
        <f>Februar!$AJ46</f>
        <v>0</v>
      </c>
      <c r="H46" s="794">
        <f>Maerz!$AJ46</f>
        <v>0</v>
      </c>
      <c r="I46" s="794">
        <f>April!$AJ46</f>
        <v>0</v>
      </c>
      <c r="J46" s="794">
        <f>Mai!$AJ46</f>
        <v>0</v>
      </c>
      <c r="K46" s="794">
        <f>Juni!$AJ46</f>
        <v>0</v>
      </c>
      <c r="L46" s="794">
        <f>Juli!$AJ46</f>
        <v>0</v>
      </c>
      <c r="M46" s="794">
        <f>August!$AJ46</f>
        <v>0</v>
      </c>
      <c r="N46" s="794">
        <f>September!$AJ46</f>
        <v>0</v>
      </c>
      <c r="O46" s="794">
        <f>Oktober!$AJ46</f>
        <v>0</v>
      </c>
      <c r="P46" s="794">
        <f>November!$AJ46</f>
        <v>0</v>
      </c>
      <c r="Q46" s="794">
        <f>Dezember!$AJ46</f>
        <v>0</v>
      </c>
      <c r="R46" s="795">
        <f t="shared" si="20"/>
        <v>0</v>
      </c>
      <c r="T46" s="796">
        <f t="shared" si="10"/>
        <v>0</v>
      </c>
      <c r="U46" s="796">
        <f t="shared" si="11"/>
        <v>0</v>
      </c>
      <c r="V46" s="796">
        <f t="shared" si="12"/>
        <v>0</v>
      </c>
      <c r="W46" s="796">
        <f t="shared" si="13"/>
        <v>0</v>
      </c>
      <c r="X46" s="15">
        <f t="shared" si="17"/>
        <v>44</v>
      </c>
      <c r="Y46" s="796">
        <f t="shared" si="14"/>
        <v>0</v>
      </c>
      <c r="Z46" s="973" t="str">
        <f t="shared" si="19"/>
        <v/>
      </c>
      <c r="AA46" s="796">
        <f t="shared" si="15"/>
        <v>0</v>
      </c>
      <c r="AB46" s="796">
        <f t="shared" si="16"/>
        <v>0</v>
      </c>
      <c r="AC46" s="796"/>
    </row>
    <row r="47" spans="1:29" s="8" customFormat="1" x14ac:dyDescent="0.2">
      <c r="A47" s="13" t="s">
        <v>306</v>
      </c>
      <c r="B47" s="185" t="str">
        <f>ctArbeitsgebiete!A15</f>
        <v>A07</v>
      </c>
      <c r="C47" s="30"/>
      <c r="D47" s="1216" t="str">
        <f>IF(ctArbeitsgebiete!B15&lt;&gt;"",ctArbeitsgebiete!B15,"")</f>
        <v/>
      </c>
      <c r="E47" s="1217"/>
      <c r="F47" s="794">
        <f>Januar!$AJ47</f>
        <v>0</v>
      </c>
      <c r="G47" s="794">
        <f>Februar!$AJ47</f>
        <v>0</v>
      </c>
      <c r="H47" s="794">
        <f>Maerz!$AJ47</f>
        <v>0</v>
      </c>
      <c r="I47" s="794">
        <f>April!$AJ47</f>
        <v>0</v>
      </c>
      <c r="J47" s="794">
        <f>Mai!$AJ47</f>
        <v>0</v>
      </c>
      <c r="K47" s="794">
        <f>Juni!$AJ47</f>
        <v>0</v>
      </c>
      <c r="L47" s="794">
        <f>Juli!$AJ47</f>
        <v>0</v>
      </c>
      <c r="M47" s="794">
        <f>August!$AJ47</f>
        <v>0</v>
      </c>
      <c r="N47" s="794">
        <f>September!$AJ47</f>
        <v>0</v>
      </c>
      <c r="O47" s="794">
        <f>Oktober!$AJ47</f>
        <v>0</v>
      </c>
      <c r="P47" s="794">
        <f>November!$AJ47</f>
        <v>0</v>
      </c>
      <c r="Q47" s="794">
        <f>Dezember!$AJ47</f>
        <v>0</v>
      </c>
      <c r="R47" s="795">
        <f t="shared" si="20"/>
        <v>0</v>
      </c>
      <c r="T47" s="796">
        <f t="shared" si="10"/>
        <v>0</v>
      </c>
      <c r="U47" s="796">
        <f t="shared" si="11"/>
        <v>0</v>
      </c>
      <c r="V47" s="796">
        <f t="shared" si="12"/>
        <v>0</v>
      </c>
      <c r="W47" s="796">
        <f t="shared" si="13"/>
        <v>0</v>
      </c>
      <c r="X47" s="15">
        <f t="shared" si="17"/>
        <v>45</v>
      </c>
      <c r="Y47" s="796">
        <f t="shared" si="14"/>
        <v>0</v>
      </c>
      <c r="Z47" s="973" t="str">
        <f t="shared" si="19"/>
        <v/>
      </c>
      <c r="AA47" s="796">
        <f t="shared" si="15"/>
        <v>0</v>
      </c>
      <c r="AB47" s="796">
        <f t="shared" si="16"/>
        <v>0</v>
      </c>
      <c r="AC47" s="796"/>
    </row>
    <row r="48" spans="1:29" s="8" customFormat="1" x14ac:dyDescent="0.2">
      <c r="A48" s="30" t="s">
        <v>307</v>
      </c>
      <c r="B48" s="185" t="str">
        <f>ctArbeitsgebiete!A16</f>
        <v>A08</v>
      </c>
      <c r="C48" s="30"/>
      <c r="D48" s="1216" t="str">
        <f>IF(ctArbeitsgebiete!B16&lt;&gt;"",ctArbeitsgebiete!B16,"")</f>
        <v/>
      </c>
      <c r="E48" s="1217"/>
      <c r="F48" s="794">
        <f>Januar!$AJ48</f>
        <v>0</v>
      </c>
      <c r="G48" s="794">
        <f>Februar!$AJ48</f>
        <v>0</v>
      </c>
      <c r="H48" s="794">
        <f>Maerz!$AJ48</f>
        <v>0</v>
      </c>
      <c r="I48" s="794">
        <f>April!$AJ48</f>
        <v>0</v>
      </c>
      <c r="J48" s="794">
        <f>Mai!$AJ48</f>
        <v>0</v>
      </c>
      <c r="K48" s="794">
        <f>Juni!$AJ48</f>
        <v>0</v>
      </c>
      <c r="L48" s="794">
        <f>Juli!$AJ48</f>
        <v>0</v>
      </c>
      <c r="M48" s="794">
        <f>August!$AJ48</f>
        <v>0</v>
      </c>
      <c r="N48" s="794">
        <f>September!$AJ48</f>
        <v>0</v>
      </c>
      <c r="O48" s="794">
        <f>Oktober!$AJ48</f>
        <v>0</v>
      </c>
      <c r="P48" s="794">
        <f>November!$AJ48</f>
        <v>0</v>
      </c>
      <c r="Q48" s="794">
        <f>Dezember!$AJ48</f>
        <v>0</v>
      </c>
      <c r="R48" s="795">
        <f t="shared" si="20"/>
        <v>0</v>
      </c>
      <c r="T48" s="796">
        <f t="shared" si="10"/>
        <v>0</v>
      </c>
      <c r="U48" s="796">
        <f t="shared" si="11"/>
        <v>0</v>
      </c>
      <c r="V48" s="796">
        <f t="shared" si="12"/>
        <v>0</v>
      </c>
      <c r="W48" s="796">
        <f t="shared" si="13"/>
        <v>0</v>
      </c>
      <c r="X48" s="15">
        <f t="shared" si="17"/>
        <v>46</v>
      </c>
      <c r="Y48" s="796">
        <f t="shared" si="14"/>
        <v>0</v>
      </c>
      <c r="Z48" s="973" t="str">
        <f t="shared" si="19"/>
        <v/>
      </c>
      <c r="AA48" s="796">
        <f t="shared" si="15"/>
        <v>0</v>
      </c>
      <c r="AB48" s="796">
        <f t="shared" si="16"/>
        <v>0</v>
      </c>
      <c r="AC48" s="796"/>
    </row>
    <row r="49" spans="1:29" s="8" customFormat="1" x14ac:dyDescent="0.2">
      <c r="A49" s="13" t="s">
        <v>308</v>
      </c>
      <c r="B49" s="185" t="str">
        <f>ctArbeitsgebiete!A17</f>
        <v>A09</v>
      </c>
      <c r="C49" s="30"/>
      <c r="D49" s="1216" t="str">
        <f>IF(ctArbeitsgebiete!B17&lt;&gt;"",ctArbeitsgebiete!B17,"")</f>
        <v/>
      </c>
      <c r="E49" s="1217"/>
      <c r="F49" s="794">
        <f>Januar!$AJ49</f>
        <v>0</v>
      </c>
      <c r="G49" s="794">
        <f>Februar!$AJ49</f>
        <v>0</v>
      </c>
      <c r="H49" s="794">
        <f>Maerz!$AJ49</f>
        <v>0</v>
      </c>
      <c r="I49" s="794">
        <f>April!$AJ49</f>
        <v>0</v>
      </c>
      <c r="J49" s="794">
        <f>Mai!$AJ49</f>
        <v>0</v>
      </c>
      <c r="K49" s="794">
        <f>Juni!$AJ49</f>
        <v>0</v>
      </c>
      <c r="L49" s="794">
        <f>Juli!$AJ49</f>
        <v>0</v>
      </c>
      <c r="M49" s="794">
        <f>August!$AJ49</f>
        <v>0</v>
      </c>
      <c r="N49" s="794">
        <f>September!$AJ49</f>
        <v>0</v>
      </c>
      <c r="O49" s="794">
        <f>Oktober!$AJ49</f>
        <v>0</v>
      </c>
      <c r="P49" s="794">
        <f>November!$AJ49</f>
        <v>0</v>
      </c>
      <c r="Q49" s="794">
        <f>Dezember!$AJ49</f>
        <v>0</v>
      </c>
      <c r="R49" s="795">
        <f t="shared" si="20"/>
        <v>0</v>
      </c>
      <c r="T49" s="796">
        <f t="shared" si="10"/>
        <v>0</v>
      </c>
      <c r="U49" s="796">
        <f t="shared" si="11"/>
        <v>0</v>
      </c>
      <c r="V49" s="796">
        <f t="shared" si="12"/>
        <v>0</v>
      </c>
      <c r="W49" s="796">
        <f t="shared" si="13"/>
        <v>0</v>
      </c>
      <c r="X49" s="15">
        <f t="shared" si="17"/>
        <v>47</v>
      </c>
      <c r="Y49" s="796">
        <f t="shared" si="14"/>
        <v>0</v>
      </c>
      <c r="Z49" s="973" t="str">
        <f t="shared" si="19"/>
        <v/>
      </c>
      <c r="AA49" s="796">
        <f t="shared" si="15"/>
        <v>0</v>
      </c>
      <c r="AB49" s="796">
        <f t="shared" si="16"/>
        <v>0</v>
      </c>
      <c r="AC49" s="796"/>
    </row>
    <row r="50" spans="1:29" s="8" customFormat="1" x14ac:dyDescent="0.2">
      <c r="A50" s="30" t="s">
        <v>309</v>
      </c>
      <c r="B50" s="185" t="str">
        <f>ctArbeitsgebiete!A18</f>
        <v>A10</v>
      </c>
      <c r="C50" s="30"/>
      <c r="D50" s="1216" t="str">
        <f>IF(ctArbeitsgebiete!B18&lt;&gt;"",ctArbeitsgebiete!B18,"")</f>
        <v/>
      </c>
      <c r="E50" s="1217"/>
      <c r="F50" s="794">
        <f>Januar!$AJ50</f>
        <v>0</v>
      </c>
      <c r="G50" s="794">
        <f>Februar!$AJ50</f>
        <v>0</v>
      </c>
      <c r="H50" s="794">
        <f>Maerz!$AJ50</f>
        <v>0</v>
      </c>
      <c r="I50" s="794">
        <f>April!$AJ50</f>
        <v>0</v>
      </c>
      <c r="J50" s="794">
        <f>Mai!$AJ50</f>
        <v>0</v>
      </c>
      <c r="K50" s="794">
        <f>Juni!$AJ50</f>
        <v>0</v>
      </c>
      <c r="L50" s="794">
        <f>Juli!$AJ50</f>
        <v>0</v>
      </c>
      <c r="M50" s="794">
        <f>August!$AJ50</f>
        <v>0</v>
      </c>
      <c r="N50" s="794">
        <f>September!$AJ50</f>
        <v>0</v>
      </c>
      <c r="O50" s="794">
        <f>Oktober!$AJ50</f>
        <v>0</v>
      </c>
      <c r="P50" s="794">
        <f>November!$AJ50</f>
        <v>0</v>
      </c>
      <c r="Q50" s="794">
        <f>Dezember!$AJ50</f>
        <v>0</v>
      </c>
      <c r="R50" s="795">
        <f t="shared" si="20"/>
        <v>0</v>
      </c>
      <c r="T50" s="796">
        <f t="shared" si="10"/>
        <v>0</v>
      </c>
      <c r="U50" s="796">
        <f t="shared" si="11"/>
        <v>0</v>
      </c>
      <c r="V50" s="796">
        <f t="shared" si="12"/>
        <v>0</v>
      </c>
      <c r="W50" s="796">
        <f t="shared" si="13"/>
        <v>0</v>
      </c>
      <c r="X50" s="15">
        <f t="shared" si="17"/>
        <v>48</v>
      </c>
      <c r="Y50" s="796">
        <f t="shared" si="14"/>
        <v>0</v>
      </c>
      <c r="Z50" s="973" t="str">
        <f t="shared" si="19"/>
        <v/>
      </c>
      <c r="AA50" s="796">
        <f t="shared" si="15"/>
        <v>0</v>
      </c>
      <c r="AB50" s="796">
        <f t="shared" si="16"/>
        <v>0</v>
      </c>
      <c r="AC50" s="796"/>
    </row>
    <row r="51" spans="1:29" s="8" customFormat="1" x14ac:dyDescent="0.2">
      <c r="A51" s="13" t="s">
        <v>310</v>
      </c>
      <c r="B51" s="185" t="str">
        <f>ctArbeitsgebiete!A19</f>
        <v>A11</v>
      </c>
      <c r="C51" s="30"/>
      <c r="D51" s="1216" t="str">
        <f>IF(ctArbeitsgebiete!B19&lt;&gt;"",ctArbeitsgebiete!B19,"")</f>
        <v/>
      </c>
      <c r="E51" s="1217"/>
      <c r="F51" s="794">
        <f>Januar!$AJ51</f>
        <v>0</v>
      </c>
      <c r="G51" s="794">
        <f>Februar!$AJ51</f>
        <v>0</v>
      </c>
      <c r="H51" s="794">
        <f>Maerz!$AJ51</f>
        <v>0</v>
      </c>
      <c r="I51" s="794">
        <f>April!$AJ51</f>
        <v>0</v>
      </c>
      <c r="J51" s="794">
        <f>Mai!$AJ51</f>
        <v>0</v>
      </c>
      <c r="K51" s="794">
        <f>Juni!$AJ51</f>
        <v>0</v>
      </c>
      <c r="L51" s="794">
        <f>Juli!$AJ51</f>
        <v>0</v>
      </c>
      <c r="M51" s="794">
        <f>August!$AJ51</f>
        <v>0</v>
      </c>
      <c r="N51" s="794">
        <f>September!$AJ51</f>
        <v>0</v>
      </c>
      <c r="O51" s="794">
        <f>Oktober!$AJ51</f>
        <v>0</v>
      </c>
      <c r="P51" s="794">
        <f>November!$AJ51</f>
        <v>0</v>
      </c>
      <c r="Q51" s="794">
        <f>Dezember!$AJ51</f>
        <v>0</v>
      </c>
      <c r="R51" s="795">
        <f t="shared" si="20"/>
        <v>0</v>
      </c>
      <c r="T51" s="796">
        <f t="shared" si="10"/>
        <v>0</v>
      </c>
      <c r="U51" s="796">
        <f t="shared" si="11"/>
        <v>0</v>
      </c>
      <c r="V51" s="796">
        <f t="shared" si="12"/>
        <v>0</v>
      </c>
      <c r="W51" s="796">
        <f t="shared" si="13"/>
        <v>0</v>
      </c>
      <c r="X51" s="15">
        <f t="shared" si="17"/>
        <v>49</v>
      </c>
      <c r="Y51" s="796">
        <f t="shared" si="14"/>
        <v>0</v>
      </c>
      <c r="Z51" s="973" t="str">
        <f t="shared" si="19"/>
        <v/>
      </c>
      <c r="AA51" s="796">
        <f t="shared" si="15"/>
        <v>0</v>
      </c>
      <c r="AB51" s="796">
        <f t="shared" si="16"/>
        <v>0</v>
      </c>
      <c r="AC51" s="796"/>
    </row>
    <row r="52" spans="1:29" s="8" customFormat="1" x14ac:dyDescent="0.2">
      <c r="A52" s="30" t="s">
        <v>311</v>
      </c>
      <c r="B52" s="185" t="str">
        <f>ctArbeitsgebiete!A20</f>
        <v>A12</v>
      </c>
      <c r="C52" s="30"/>
      <c r="D52" s="1216" t="str">
        <f>IF(ctArbeitsgebiete!B20&lt;&gt;"",ctArbeitsgebiete!B20,"")</f>
        <v/>
      </c>
      <c r="E52" s="1217"/>
      <c r="F52" s="794">
        <f>Januar!$AJ52</f>
        <v>0</v>
      </c>
      <c r="G52" s="794">
        <f>Februar!$AJ52</f>
        <v>0</v>
      </c>
      <c r="H52" s="794">
        <f>Maerz!$AJ52</f>
        <v>0</v>
      </c>
      <c r="I52" s="794">
        <f>April!$AJ52</f>
        <v>0</v>
      </c>
      <c r="J52" s="794">
        <f>Mai!$AJ52</f>
        <v>0</v>
      </c>
      <c r="K52" s="794">
        <f>Juni!$AJ52</f>
        <v>0</v>
      </c>
      <c r="L52" s="794">
        <f>Juli!$AJ52</f>
        <v>0</v>
      </c>
      <c r="M52" s="794">
        <f>August!$AJ52</f>
        <v>0</v>
      </c>
      <c r="N52" s="794">
        <f>September!$AJ52</f>
        <v>0</v>
      </c>
      <c r="O52" s="794">
        <f>Oktober!$AJ52</f>
        <v>0</v>
      </c>
      <c r="P52" s="794">
        <f>November!$AJ52</f>
        <v>0</v>
      </c>
      <c r="Q52" s="794">
        <f>Dezember!$AJ52</f>
        <v>0</v>
      </c>
      <c r="R52" s="795">
        <f t="shared" si="20"/>
        <v>0</v>
      </c>
      <c r="T52" s="796">
        <f t="shared" si="10"/>
        <v>0</v>
      </c>
      <c r="U52" s="796">
        <f t="shared" si="11"/>
        <v>0</v>
      </c>
      <c r="V52" s="796">
        <f t="shared" si="12"/>
        <v>0</v>
      </c>
      <c r="W52" s="796">
        <f t="shared" si="13"/>
        <v>0</v>
      </c>
      <c r="X52" s="15">
        <f t="shared" si="17"/>
        <v>50</v>
      </c>
      <c r="Y52" s="796">
        <f t="shared" si="14"/>
        <v>0</v>
      </c>
      <c r="Z52" s="973" t="str">
        <f t="shared" si="19"/>
        <v/>
      </c>
      <c r="AA52" s="796">
        <f t="shared" si="15"/>
        <v>0</v>
      </c>
      <c r="AB52" s="796">
        <f t="shared" si="16"/>
        <v>0</v>
      </c>
      <c r="AC52" s="796"/>
    </row>
    <row r="53" spans="1:29" s="8" customFormat="1" x14ac:dyDescent="0.2">
      <c r="A53" s="13" t="s">
        <v>312</v>
      </c>
      <c r="B53" s="185" t="str">
        <f>ctArbeitsgebiete!A21</f>
        <v>A13</v>
      </c>
      <c r="C53" s="30"/>
      <c r="D53" s="1216" t="str">
        <f>IF(ctArbeitsgebiete!B21&lt;&gt;"",ctArbeitsgebiete!B21,"")</f>
        <v/>
      </c>
      <c r="E53" s="1217"/>
      <c r="F53" s="794">
        <f>Januar!$AJ53</f>
        <v>0</v>
      </c>
      <c r="G53" s="794">
        <f>Februar!$AJ53</f>
        <v>0</v>
      </c>
      <c r="H53" s="794">
        <f>Maerz!$AJ53</f>
        <v>0</v>
      </c>
      <c r="I53" s="794">
        <f>April!$AJ53</f>
        <v>0</v>
      </c>
      <c r="J53" s="794">
        <f>Mai!$AJ53</f>
        <v>0</v>
      </c>
      <c r="K53" s="794">
        <f>Juni!$AJ53</f>
        <v>0</v>
      </c>
      <c r="L53" s="794">
        <f>Juli!$AJ53</f>
        <v>0</v>
      </c>
      <c r="M53" s="794">
        <f>August!$AJ53</f>
        <v>0</v>
      </c>
      <c r="N53" s="794">
        <f>September!$AJ53</f>
        <v>0</v>
      </c>
      <c r="O53" s="794">
        <f>Oktober!$AJ53</f>
        <v>0</v>
      </c>
      <c r="P53" s="794">
        <f>November!$AJ53</f>
        <v>0</v>
      </c>
      <c r="Q53" s="794">
        <f>Dezember!$AJ53</f>
        <v>0</v>
      </c>
      <c r="R53" s="795">
        <f t="shared" si="20"/>
        <v>0</v>
      </c>
      <c r="T53" s="796">
        <f t="shared" si="10"/>
        <v>0</v>
      </c>
      <c r="U53" s="796">
        <f t="shared" si="11"/>
        <v>0</v>
      </c>
      <c r="V53" s="796">
        <f t="shared" si="12"/>
        <v>0</v>
      </c>
      <c r="W53" s="796">
        <f t="shared" si="13"/>
        <v>0</v>
      </c>
      <c r="X53" s="15">
        <f t="shared" si="17"/>
        <v>51</v>
      </c>
      <c r="Y53" s="796">
        <f t="shared" si="14"/>
        <v>0</v>
      </c>
      <c r="Z53" s="973" t="str">
        <f t="shared" si="19"/>
        <v/>
      </c>
      <c r="AA53" s="796">
        <f t="shared" si="15"/>
        <v>0</v>
      </c>
      <c r="AB53" s="796">
        <f t="shared" si="16"/>
        <v>0</v>
      </c>
      <c r="AC53" s="796"/>
    </row>
    <row r="54" spans="1:29" s="8" customFormat="1" x14ac:dyDescent="0.2">
      <c r="A54" s="30" t="s">
        <v>313</v>
      </c>
      <c r="B54" s="185" t="str">
        <f>ctArbeitsgebiete!A22</f>
        <v>A14</v>
      </c>
      <c r="C54" s="30"/>
      <c r="D54" s="1216" t="str">
        <f>IF(ctArbeitsgebiete!B22&lt;&gt;"",ctArbeitsgebiete!B22,"")</f>
        <v/>
      </c>
      <c r="E54" s="1217"/>
      <c r="F54" s="794">
        <f>Januar!$AJ54</f>
        <v>0</v>
      </c>
      <c r="G54" s="794">
        <f>Februar!$AJ54</f>
        <v>0</v>
      </c>
      <c r="H54" s="794">
        <f>Maerz!$AJ54</f>
        <v>0</v>
      </c>
      <c r="I54" s="794">
        <f>April!$AJ54</f>
        <v>0</v>
      </c>
      <c r="J54" s="794">
        <f>Mai!$AJ54</f>
        <v>0</v>
      </c>
      <c r="K54" s="794">
        <f>Juni!$AJ54</f>
        <v>0</v>
      </c>
      <c r="L54" s="794">
        <f>Juli!$AJ54</f>
        <v>0</v>
      </c>
      <c r="M54" s="794">
        <f>August!$AJ54</f>
        <v>0</v>
      </c>
      <c r="N54" s="794">
        <f>September!$AJ54</f>
        <v>0</v>
      </c>
      <c r="O54" s="794">
        <f>Oktober!$AJ54</f>
        <v>0</v>
      </c>
      <c r="P54" s="794">
        <f>November!$AJ54</f>
        <v>0</v>
      </c>
      <c r="Q54" s="794">
        <f>Dezember!$AJ54</f>
        <v>0</v>
      </c>
      <c r="R54" s="795">
        <f t="shared" si="20"/>
        <v>0</v>
      </c>
      <c r="T54" s="796">
        <f t="shared" si="10"/>
        <v>0</v>
      </c>
      <c r="U54" s="796">
        <f t="shared" si="11"/>
        <v>0</v>
      </c>
      <c r="V54" s="796">
        <f t="shared" si="12"/>
        <v>0</v>
      </c>
      <c r="W54" s="796">
        <f t="shared" si="13"/>
        <v>0</v>
      </c>
      <c r="X54" s="15">
        <f t="shared" si="17"/>
        <v>52</v>
      </c>
      <c r="Y54" s="796">
        <f t="shared" si="14"/>
        <v>0</v>
      </c>
      <c r="Z54" s="973" t="str">
        <f t="shared" si="19"/>
        <v/>
      </c>
      <c r="AA54" s="796">
        <f t="shared" si="15"/>
        <v>0</v>
      </c>
      <c r="AB54" s="796">
        <f t="shared" si="16"/>
        <v>0</v>
      </c>
      <c r="AC54" s="796"/>
    </row>
    <row r="55" spans="1:29" s="8" customFormat="1" x14ac:dyDescent="0.2">
      <c r="A55" s="13" t="s">
        <v>314</v>
      </c>
      <c r="B55" s="185" t="str">
        <f>ctArbeitsgebiete!A23</f>
        <v>A15</v>
      </c>
      <c r="C55" s="30"/>
      <c r="D55" s="1216" t="str">
        <f>IF(ctArbeitsgebiete!B23&lt;&gt;"",ctArbeitsgebiete!B23,"")</f>
        <v/>
      </c>
      <c r="E55" s="1217"/>
      <c r="F55" s="794">
        <f>Januar!$AJ55</f>
        <v>0</v>
      </c>
      <c r="G55" s="794">
        <f>Februar!$AJ55</f>
        <v>0</v>
      </c>
      <c r="H55" s="794">
        <f>Maerz!$AJ55</f>
        <v>0</v>
      </c>
      <c r="I55" s="794">
        <f>April!$AJ55</f>
        <v>0</v>
      </c>
      <c r="J55" s="794">
        <f>Mai!$AJ55</f>
        <v>0</v>
      </c>
      <c r="K55" s="794">
        <f>Juni!$AJ55</f>
        <v>0</v>
      </c>
      <c r="L55" s="794">
        <f>Juli!$AJ55</f>
        <v>0</v>
      </c>
      <c r="M55" s="794">
        <f>August!$AJ55</f>
        <v>0</v>
      </c>
      <c r="N55" s="794">
        <f>September!$AJ55</f>
        <v>0</v>
      </c>
      <c r="O55" s="794">
        <f>Oktober!$AJ55</f>
        <v>0</v>
      </c>
      <c r="P55" s="794">
        <f>November!$AJ55</f>
        <v>0</v>
      </c>
      <c r="Q55" s="794">
        <f>Dezember!$AJ55</f>
        <v>0</v>
      </c>
      <c r="R55" s="795">
        <f t="shared" si="20"/>
        <v>0</v>
      </c>
      <c r="T55" s="796">
        <f t="shared" si="10"/>
        <v>0</v>
      </c>
      <c r="U55" s="796">
        <f t="shared" si="11"/>
        <v>0</v>
      </c>
      <c r="V55" s="796">
        <f t="shared" si="12"/>
        <v>0</v>
      </c>
      <c r="W55" s="796">
        <f t="shared" si="13"/>
        <v>0</v>
      </c>
      <c r="X55" s="15">
        <f t="shared" si="17"/>
        <v>53</v>
      </c>
      <c r="Y55" s="796">
        <f t="shared" si="14"/>
        <v>0</v>
      </c>
      <c r="Z55" s="973" t="str">
        <f t="shared" si="19"/>
        <v/>
      </c>
      <c r="AA55" s="796">
        <f t="shared" si="15"/>
        <v>0</v>
      </c>
      <c r="AB55" s="796">
        <f t="shared" si="16"/>
        <v>0</v>
      </c>
      <c r="AC55" s="796"/>
    </row>
    <row r="56" spans="1:29" s="8" customFormat="1" x14ac:dyDescent="0.2">
      <c r="A56" s="30" t="s">
        <v>315</v>
      </c>
      <c r="B56" s="185" t="str">
        <f>ctArbeitsgebiete!A24</f>
        <v>A16</v>
      </c>
      <c r="C56" s="30"/>
      <c r="D56" s="1206" t="str">
        <f>IF(ctArbeitsgebiete!B24&lt;&gt;"",ctArbeitsgebiete!B24,"")</f>
        <v/>
      </c>
      <c r="E56" s="1207"/>
      <c r="F56" s="838">
        <f>Januar!$AJ56</f>
        <v>0</v>
      </c>
      <c r="G56" s="838">
        <f>Februar!$AJ56</f>
        <v>0</v>
      </c>
      <c r="H56" s="838">
        <f>Maerz!$AJ56</f>
        <v>0</v>
      </c>
      <c r="I56" s="838">
        <f>April!$AJ56</f>
        <v>0</v>
      </c>
      <c r="J56" s="838">
        <f>Mai!$AJ56</f>
        <v>0</v>
      </c>
      <c r="K56" s="838">
        <f>Juni!$AJ56</f>
        <v>0</v>
      </c>
      <c r="L56" s="838">
        <f>Juli!$AJ56</f>
        <v>0</v>
      </c>
      <c r="M56" s="838">
        <f>August!$AJ56</f>
        <v>0</v>
      </c>
      <c r="N56" s="838">
        <f>September!$AJ56</f>
        <v>0</v>
      </c>
      <c r="O56" s="838">
        <f>Oktober!$AJ56</f>
        <v>0</v>
      </c>
      <c r="P56" s="838">
        <f>November!$AJ56</f>
        <v>0</v>
      </c>
      <c r="Q56" s="838">
        <f>Dezember!$AJ56</f>
        <v>0</v>
      </c>
      <c r="R56" s="839">
        <f t="shared" si="20"/>
        <v>0</v>
      </c>
      <c r="T56" s="840">
        <f t="shared" si="10"/>
        <v>0</v>
      </c>
      <c r="U56" s="840">
        <f t="shared" si="11"/>
        <v>0</v>
      </c>
      <c r="V56" s="840">
        <f t="shared" si="12"/>
        <v>0</v>
      </c>
      <c r="W56" s="840">
        <f t="shared" si="13"/>
        <v>0</v>
      </c>
      <c r="X56" s="15">
        <f t="shared" si="17"/>
        <v>54</v>
      </c>
      <c r="Y56" s="840">
        <f t="shared" si="14"/>
        <v>0</v>
      </c>
      <c r="Z56" s="973" t="str">
        <f t="shared" si="19"/>
        <v/>
      </c>
      <c r="AA56" s="840">
        <f t="shared" si="15"/>
        <v>0</v>
      </c>
      <c r="AB56" s="840">
        <f t="shared" si="16"/>
        <v>0</v>
      </c>
      <c r="AC56" s="840"/>
    </row>
    <row r="57" spans="1:29" s="8" customFormat="1" x14ac:dyDescent="0.2">
      <c r="A57" s="13" t="s">
        <v>316</v>
      </c>
      <c r="B57" s="293" t="str">
        <f>ctArbeitsgebiete!D9</f>
        <v>B01</v>
      </c>
      <c r="C57" s="30"/>
      <c r="D57" s="1208" t="str">
        <f>IF(ctArbeitsgebiete!E9&lt;&gt;"",ctArbeitsgebiete!E9,"")</f>
        <v/>
      </c>
      <c r="E57" s="1209"/>
      <c r="F57" s="981">
        <f>Januar!$AJ57</f>
        <v>0</v>
      </c>
      <c r="G57" s="981">
        <f>Februar!$AJ57</f>
        <v>0</v>
      </c>
      <c r="H57" s="981">
        <f>Maerz!$AJ57</f>
        <v>0</v>
      </c>
      <c r="I57" s="981">
        <f>April!$AJ57</f>
        <v>0</v>
      </c>
      <c r="J57" s="981">
        <f>Mai!$AJ57</f>
        <v>0</v>
      </c>
      <c r="K57" s="981">
        <f>Juni!$AJ57</f>
        <v>0</v>
      </c>
      <c r="L57" s="981">
        <f>Juli!$AJ57</f>
        <v>0</v>
      </c>
      <c r="M57" s="981">
        <f>August!$AJ57</f>
        <v>0</v>
      </c>
      <c r="N57" s="981">
        <f>September!$AJ57</f>
        <v>0</v>
      </c>
      <c r="O57" s="981">
        <f>Oktober!$AJ57</f>
        <v>0</v>
      </c>
      <c r="P57" s="981">
        <f>November!$AJ57</f>
        <v>0</v>
      </c>
      <c r="Q57" s="981">
        <f>Dezember!$AJ57</f>
        <v>0</v>
      </c>
      <c r="R57" s="982">
        <f t="shared" si="20"/>
        <v>0</v>
      </c>
      <c r="T57" s="983">
        <f t="shared" si="10"/>
        <v>0</v>
      </c>
      <c r="U57" s="983">
        <f t="shared" si="11"/>
        <v>0</v>
      </c>
      <c r="V57" s="983">
        <f t="shared" si="12"/>
        <v>0</v>
      </c>
      <c r="W57" s="983">
        <f t="shared" si="13"/>
        <v>0</v>
      </c>
      <c r="X57" s="15">
        <f t="shared" si="17"/>
        <v>55</v>
      </c>
      <c r="Y57" s="983">
        <f t="shared" si="14"/>
        <v>0</v>
      </c>
      <c r="Z57" s="973" t="str">
        <f t="shared" si="19"/>
        <v/>
      </c>
      <c r="AA57" s="983">
        <f t="shared" si="15"/>
        <v>0</v>
      </c>
      <c r="AB57" s="983">
        <f t="shared" si="16"/>
        <v>0</v>
      </c>
      <c r="AC57" s="983"/>
    </row>
    <row r="58" spans="1:29" s="8" customFormat="1" x14ac:dyDescent="0.2">
      <c r="A58" s="30" t="s">
        <v>317</v>
      </c>
      <c r="B58" s="185" t="str">
        <f>ctArbeitsgebiete!D10</f>
        <v>B02</v>
      </c>
      <c r="C58" s="30"/>
      <c r="D58" s="1204" t="str">
        <f>IF(ctArbeitsgebiete!E10&lt;&gt;"",ctArbeitsgebiete!E10,"")</f>
        <v/>
      </c>
      <c r="E58" s="1205"/>
      <c r="F58" s="797">
        <f>Januar!$AJ58</f>
        <v>0</v>
      </c>
      <c r="G58" s="797">
        <f>Februar!$AJ58</f>
        <v>0</v>
      </c>
      <c r="H58" s="797">
        <f>Maerz!$AJ58</f>
        <v>0</v>
      </c>
      <c r="I58" s="797">
        <f>April!$AJ58</f>
        <v>0</v>
      </c>
      <c r="J58" s="797">
        <f>Mai!$AJ58</f>
        <v>0</v>
      </c>
      <c r="K58" s="797">
        <f>Juni!$AJ58</f>
        <v>0</v>
      </c>
      <c r="L58" s="797">
        <f>Juli!$AJ58</f>
        <v>0</v>
      </c>
      <c r="M58" s="797">
        <f>August!$AJ58</f>
        <v>0</v>
      </c>
      <c r="N58" s="797">
        <f>September!$AJ58</f>
        <v>0</v>
      </c>
      <c r="O58" s="797">
        <f>Oktober!$AJ58</f>
        <v>0</v>
      </c>
      <c r="P58" s="797">
        <f>November!$AJ58</f>
        <v>0</v>
      </c>
      <c r="Q58" s="797">
        <f>Dezember!$AJ58</f>
        <v>0</v>
      </c>
      <c r="R58" s="798">
        <f t="shared" si="20"/>
        <v>0</v>
      </c>
      <c r="T58" s="799">
        <f t="shared" si="10"/>
        <v>0</v>
      </c>
      <c r="U58" s="799">
        <f t="shared" si="11"/>
        <v>0</v>
      </c>
      <c r="V58" s="799">
        <f t="shared" si="12"/>
        <v>0</v>
      </c>
      <c r="W58" s="799">
        <f t="shared" si="13"/>
        <v>0</v>
      </c>
      <c r="X58" s="15">
        <f t="shared" si="17"/>
        <v>56</v>
      </c>
      <c r="Y58" s="799">
        <f t="shared" si="14"/>
        <v>0</v>
      </c>
      <c r="Z58" s="973" t="str">
        <f t="shared" si="19"/>
        <v/>
      </c>
      <c r="AA58" s="799">
        <f t="shared" si="15"/>
        <v>0</v>
      </c>
      <c r="AB58" s="799">
        <f t="shared" si="16"/>
        <v>0</v>
      </c>
      <c r="AC58" s="799"/>
    </row>
    <row r="59" spans="1:29" s="8" customFormat="1" x14ac:dyDescent="0.2">
      <c r="A59" s="13" t="s">
        <v>318</v>
      </c>
      <c r="B59" s="185" t="str">
        <f>ctArbeitsgebiete!D11</f>
        <v>B03</v>
      </c>
      <c r="C59" s="30"/>
      <c r="D59" s="1204" t="str">
        <f>IF(ctArbeitsgebiete!E11&lt;&gt;"",ctArbeitsgebiete!E11,"")</f>
        <v/>
      </c>
      <c r="E59" s="1205"/>
      <c r="F59" s="797">
        <f>Januar!$AJ59</f>
        <v>0</v>
      </c>
      <c r="G59" s="797">
        <f>Februar!$AJ59</f>
        <v>0</v>
      </c>
      <c r="H59" s="797">
        <f>Maerz!$AJ59</f>
        <v>0</v>
      </c>
      <c r="I59" s="797">
        <f>April!$AJ59</f>
        <v>0</v>
      </c>
      <c r="J59" s="797">
        <f>Mai!$AJ59</f>
        <v>0</v>
      </c>
      <c r="K59" s="797">
        <f>Juni!$AJ59</f>
        <v>0</v>
      </c>
      <c r="L59" s="797">
        <f>Juli!$AJ59</f>
        <v>0</v>
      </c>
      <c r="M59" s="797">
        <f>August!$AJ59</f>
        <v>0</v>
      </c>
      <c r="N59" s="797">
        <f>September!$AJ59</f>
        <v>0</v>
      </c>
      <c r="O59" s="797">
        <f>Oktober!$AJ59</f>
        <v>0</v>
      </c>
      <c r="P59" s="797">
        <f>November!$AJ59</f>
        <v>0</v>
      </c>
      <c r="Q59" s="797">
        <f>Dezember!$AJ59</f>
        <v>0</v>
      </c>
      <c r="R59" s="798">
        <f t="shared" si="20"/>
        <v>0</v>
      </c>
      <c r="T59" s="799">
        <f t="shared" si="10"/>
        <v>0</v>
      </c>
      <c r="U59" s="799">
        <f t="shared" si="11"/>
        <v>0</v>
      </c>
      <c r="V59" s="799">
        <f t="shared" si="12"/>
        <v>0</v>
      </c>
      <c r="W59" s="799">
        <f t="shared" si="13"/>
        <v>0</v>
      </c>
      <c r="X59" s="15">
        <f t="shared" si="17"/>
        <v>57</v>
      </c>
      <c r="Y59" s="799">
        <f t="shared" si="14"/>
        <v>0</v>
      </c>
      <c r="Z59" s="973" t="str">
        <f t="shared" si="19"/>
        <v/>
      </c>
      <c r="AA59" s="799">
        <f t="shared" si="15"/>
        <v>0</v>
      </c>
      <c r="AB59" s="799">
        <f t="shared" si="16"/>
        <v>0</v>
      </c>
      <c r="AC59" s="799"/>
    </row>
    <row r="60" spans="1:29" s="8" customFormat="1" x14ac:dyDescent="0.2">
      <c r="A60" s="30" t="s">
        <v>319</v>
      </c>
      <c r="B60" s="185" t="str">
        <f>ctArbeitsgebiete!D12</f>
        <v>B04</v>
      </c>
      <c r="C60" s="30"/>
      <c r="D60" s="1204" t="str">
        <f>IF(ctArbeitsgebiete!E12&lt;&gt;"",ctArbeitsgebiete!E12,"")</f>
        <v/>
      </c>
      <c r="E60" s="1205"/>
      <c r="F60" s="797">
        <f>Januar!$AJ60</f>
        <v>0</v>
      </c>
      <c r="G60" s="797">
        <f>Februar!$AJ60</f>
        <v>0</v>
      </c>
      <c r="H60" s="797">
        <f>Maerz!$AJ60</f>
        <v>0</v>
      </c>
      <c r="I60" s="797">
        <f>April!$AJ60</f>
        <v>0</v>
      </c>
      <c r="J60" s="797">
        <f>Mai!$AJ60</f>
        <v>0</v>
      </c>
      <c r="K60" s="797">
        <f>Juni!$AJ60</f>
        <v>0</v>
      </c>
      <c r="L60" s="797">
        <f>Juli!$AJ60</f>
        <v>0</v>
      </c>
      <c r="M60" s="797">
        <f>August!$AJ60</f>
        <v>0</v>
      </c>
      <c r="N60" s="797">
        <f>September!$AJ60</f>
        <v>0</v>
      </c>
      <c r="O60" s="797">
        <f>Oktober!$AJ60</f>
        <v>0</v>
      </c>
      <c r="P60" s="797">
        <f>November!$AJ60</f>
        <v>0</v>
      </c>
      <c r="Q60" s="797">
        <f>Dezember!$AJ60</f>
        <v>0</v>
      </c>
      <c r="R60" s="798">
        <f t="shared" si="20"/>
        <v>0</v>
      </c>
      <c r="T60" s="799">
        <f t="shared" si="10"/>
        <v>0</v>
      </c>
      <c r="U60" s="799">
        <f t="shared" si="11"/>
        <v>0</v>
      </c>
      <c r="V60" s="799">
        <f t="shared" si="12"/>
        <v>0</v>
      </c>
      <c r="W60" s="799">
        <f t="shared" si="13"/>
        <v>0</v>
      </c>
      <c r="X60" s="15">
        <f t="shared" si="17"/>
        <v>58</v>
      </c>
      <c r="Y60" s="799">
        <f t="shared" si="14"/>
        <v>0</v>
      </c>
      <c r="Z60" s="973" t="str">
        <f t="shared" si="19"/>
        <v/>
      </c>
      <c r="AA60" s="799">
        <f t="shared" si="15"/>
        <v>0</v>
      </c>
      <c r="AB60" s="799">
        <f t="shared" si="16"/>
        <v>0</v>
      </c>
      <c r="AC60" s="799"/>
    </row>
    <row r="61" spans="1:29" s="8" customFormat="1" x14ac:dyDescent="0.2">
      <c r="A61" s="13" t="s">
        <v>320</v>
      </c>
      <c r="B61" s="185" t="str">
        <f>ctArbeitsgebiete!D13</f>
        <v>B05</v>
      </c>
      <c r="C61" s="30"/>
      <c r="D61" s="1204" t="str">
        <f>IF(ctArbeitsgebiete!E13&lt;&gt;"",ctArbeitsgebiete!E13,"")</f>
        <v/>
      </c>
      <c r="E61" s="1205"/>
      <c r="F61" s="797">
        <f>Januar!$AJ61</f>
        <v>0</v>
      </c>
      <c r="G61" s="797">
        <f>Februar!$AJ61</f>
        <v>0</v>
      </c>
      <c r="H61" s="797">
        <f>Maerz!$AJ61</f>
        <v>0</v>
      </c>
      <c r="I61" s="797">
        <f>April!$AJ61</f>
        <v>0</v>
      </c>
      <c r="J61" s="797">
        <f>Mai!$AJ61</f>
        <v>0</v>
      </c>
      <c r="K61" s="797">
        <f>Juni!$AJ61</f>
        <v>0</v>
      </c>
      <c r="L61" s="797">
        <f>Juli!$AJ61</f>
        <v>0</v>
      </c>
      <c r="M61" s="797">
        <f>August!$AJ61</f>
        <v>0</v>
      </c>
      <c r="N61" s="797">
        <f>September!$AJ61</f>
        <v>0</v>
      </c>
      <c r="O61" s="797">
        <f>Oktober!$AJ61</f>
        <v>0</v>
      </c>
      <c r="P61" s="797">
        <f>November!$AJ61</f>
        <v>0</v>
      </c>
      <c r="Q61" s="797">
        <f>Dezember!$AJ61</f>
        <v>0</v>
      </c>
      <c r="R61" s="798">
        <f t="shared" si="20"/>
        <v>0</v>
      </c>
      <c r="T61" s="799">
        <f t="shared" si="10"/>
        <v>0</v>
      </c>
      <c r="U61" s="799">
        <f t="shared" si="11"/>
        <v>0</v>
      </c>
      <c r="V61" s="799">
        <f t="shared" si="12"/>
        <v>0</v>
      </c>
      <c r="W61" s="799">
        <f t="shared" si="13"/>
        <v>0</v>
      </c>
      <c r="X61" s="15">
        <f t="shared" si="17"/>
        <v>59</v>
      </c>
      <c r="Y61" s="799">
        <f t="shared" si="14"/>
        <v>0</v>
      </c>
      <c r="Z61" s="973" t="str">
        <f t="shared" si="19"/>
        <v/>
      </c>
      <c r="AA61" s="799">
        <f t="shared" si="15"/>
        <v>0</v>
      </c>
      <c r="AB61" s="799">
        <f t="shared" si="16"/>
        <v>0</v>
      </c>
      <c r="AC61" s="799"/>
    </row>
    <row r="62" spans="1:29" s="8" customFormat="1" x14ac:dyDescent="0.2">
      <c r="A62" s="30" t="s">
        <v>321</v>
      </c>
      <c r="B62" s="185" t="str">
        <f>ctArbeitsgebiete!D14</f>
        <v>B06</v>
      </c>
      <c r="C62" s="30"/>
      <c r="D62" s="1204" t="str">
        <f>IF(ctArbeitsgebiete!E14&lt;&gt;"",ctArbeitsgebiete!E14,"")</f>
        <v/>
      </c>
      <c r="E62" s="1205"/>
      <c r="F62" s="797">
        <f>Januar!$AJ62</f>
        <v>0</v>
      </c>
      <c r="G62" s="797">
        <f>Februar!$AJ62</f>
        <v>0</v>
      </c>
      <c r="H62" s="797">
        <f>Maerz!$AJ62</f>
        <v>0</v>
      </c>
      <c r="I62" s="797">
        <f>April!$AJ62</f>
        <v>0</v>
      </c>
      <c r="J62" s="797">
        <f>Mai!$AJ62</f>
        <v>0</v>
      </c>
      <c r="K62" s="797">
        <f>Juni!$AJ62</f>
        <v>0</v>
      </c>
      <c r="L62" s="797">
        <f>Juli!$AJ62</f>
        <v>0</v>
      </c>
      <c r="M62" s="797">
        <f>August!$AJ62</f>
        <v>0</v>
      </c>
      <c r="N62" s="797">
        <f>September!$AJ62</f>
        <v>0</v>
      </c>
      <c r="O62" s="797">
        <f>Oktober!$AJ62</f>
        <v>0</v>
      </c>
      <c r="P62" s="797">
        <f>November!$AJ62</f>
        <v>0</v>
      </c>
      <c r="Q62" s="797">
        <f>Dezember!$AJ62</f>
        <v>0</v>
      </c>
      <c r="R62" s="798">
        <f t="shared" si="20"/>
        <v>0</v>
      </c>
      <c r="T62" s="799">
        <f t="shared" si="10"/>
        <v>0</v>
      </c>
      <c r="U62" s="799">
        <f t="shared" si="11"/>
        <v>0</v>
      </c>
      <c r="V62" s="799">
        <f t="shared" si="12"/>
        <v>0</v>
      </c>
      <c r="W62" s="799">
        <f t="shared" si="13"/>
        <v>0</v>
      </c>
      <c r="X62" s="15">
        <f t="shared" si="17"/>
        <v>60</v>
      </c>
      <c r="Y62" s="799">
        <f t="shared" si="14"/>
        <v>0</v>
      </c>
      <c r="Z62" s="973" t="str">
        <f t="shared" si="19"/>
        <v/>
      </c>
      <c r="AA62" s="799">
        <f t="shared" si="15"/>
        <v>0</v>
      </c>
      <c r="AB62" s="799">
        <f t="shared" si="16"/>
        <v>0</v>
      </c>
      <c r="AC62" s="799"/>
    </row>
    <row r="63" spans="1:29" s="8" customFormat="1" x14ac:dyDescent="0.2">
      <c r="A63" s="13" t="s">
        <v>322</v>
      </c>
      <c r="B63" s="185" t="str">
        <f>ctArbeitsgebiete!D15</f>
        <v>B07</v>
      </c>
      <c r="C63" s="30"/>
      <c r="D63" s="1204" t="str">
        <f>IF(ctArbeitsgebiete!E15&lt;&gt;"",ctArbeitsgebiete!E15,"")</f>
        <v/>
      </c>
      <c r="E63" s="1205"/>
      <c r="F63" s="797">
        <f>Januar!$AJ63</f>
        <v>0</v>
      </c>
      <c r="G63" s="797">
        <f>Februar!$AJ63</f>
        <v>0</v>
      </c>
      <c r="H63" s="797">
        <f>Maerz!$AJ63</f>
        <v>0</v>
      </c>
      <c r="I63" s="797">
        <f>April!$AJ63</f>
        <v>0</v>
      </c>
      <c r="J63" s="797">
        <f>Mai!$AJ63</f>
        <v>0</v>
      </c>
      <c r="K63" s="797">
        <f>Juni!$AJ63</f>
        <v>0</v>
      </c>
      <c r="L63" s="797">
        <f>Juli!$AJ63</f>
        <v>0</v>
      </c>
      <c r="M63" s="797">
        <f>August!$AJ63</f>
        <v>0</v>
      </c>
      <c r="N63" s="797">
        <f>September!$AJ63</f>
        <v>0</v>
      </c>
      <c r="O63" s="797">
        <f>Oktober!$AJ63</f>
        <v>0</v>
      </c>
      <c r="P63" s="797">
        <f>November!$AJ63</f>
        <v>0</v>
      </c>
      <c r="Q63" s="797">
        <f>Dezember!$AJ63</f>
        <v>0</v>
      </c>
      <c r="R63" s="798">
        <f t="shared" si="20"/>
        <v>0</v>
      </c>
      <c r="T63" s="799">
        <f t="shared" si="10"/>
        <v>0</v>
      </c>
      <c r="U63" s="799">
        <f t="shared" si="11"/>
        <v>0</v>
      </c>
      <c r="V63" s="799">
        <f t="shared" si="12"/>
        <v>0</v>
      </c>
      <c r="W63" s="799">
        <f t="shared" si="13"/>
        <v>0</v>
      </c>
      <c r="X63" s="15">
        <f t="shared" si="17"/>
        <v>61</v>
      </c>
      <c r="Y63" s="799">
        <f t="shared" si="14"/>
        <v>0</v>
      </c>
      <c r="Z63" s="973" t="str">
        <f t="shared" si="19"/>
        <v/>
      </c>
      <c r="AA63" s="799">
        <f t="shared" si="15"/>
        <v>0</v>
      </c>
      <c r="AB63" s="799">
        <f t="shared" si="16"/>
        <v>0</v>
      </c>
      <c r="AC63" s="799"/>
    </row>
    <row r="64" spans="1:29" s="8" customFormat="1" x14ac:dyDescent="0.2">
      <c r="A64" s="30" t="s">
        <v>323</v>
      </c>
      <c r="B64" s="185" t="str">
        <f>ctArbeitsgebiete!D16</f>
        <v>B08</v>
      </c>
      <c r="C64" s="30"/>
      <c r="D64" s="1204" t="str">
        <f>IF(ctArbeitsgebiete!E16&lt;&gt;"",ctArbeitsgebiete!E16,"")</f>
        <v/>
      </c>
      <c r="E64" s="1205"/>
      <c r="F64" s="797">
        <f>Januar!$AJ64</f>
        <v>0</v>
      </c>
      <c r="G64" s="797">
        <f>Februar!$AJ64</f>
        <v>0</v>
      </c>
      <c r="H64" s="797">
        <f>Maerz!$AJ64</f>
        <v>0</v>
      </c>
      <c r="I64" s="797">
        <f>April!$AJ64</f>
        <v>0</v>
      </c>
      <c r="J64" s="797">
        <f>Mai!$AJ64</f>
        <v>0</v>
      </c>
      <c r="K64" s="797">
        <f>Juni!$AJ64</f>
        <v>0</v>
      </c>
      <c r="L64" s="797">
        <f>Juli!$AJ64</f>
        <v>0</v>
      </c>
      <c r="M64" s="797">
        <f>August!$AJ64</f>
        <v>0</v>
      </c>
      <c r="N64" s="797">
        <f>September!$AJ64</f>
        <v>0</v>
      </c>
      <c r="O64" s="797">
        <f>Oktober!$AJ64</f>
        <v>0</v>
      </c>
      <c r="P64" s="797">
        <f>November!$AJ64</f>
        <v>0</v>
      </c>
      <c r="Q64" s="797">
        <f>Dezember!$AJ64</f>
        <v>0</v>
      </c>
      <c r="R64" s="798">
        <f t="shared" si="20"/>
        <v>0</v>
      </c>
      <c r="T64" s="799">
        <f t="shared" si="10"/>
        <v>0</v>
      </c>
      <c r="U64" s="799">
        <f t="shared" si="11"/>
        <v>0</v>
      </c>
      <c r="V64" s="799">
        <f t="shared" si="12"/>
        <v>0</v>
      </c>
      <c r="W64" s="799">
        <f t="shared" si="13"/>
        <v>0</v>
      </c>
      <c r="X64" s="15">
        <f t="shared" si="17"/>
        <v>62</v>
      </c>
      <c r="Y64" s="799">
        <f t="shared" si="14"/>
        <v>0</v>
      </c>
      <c r="Z64" s="973" t="str">
        <f t="shared" si="19"/>
        <v/>
      </c>
      <c r="AA64" s="799">
        <f t="shared" si="15"/>
        <v>0</v>
      </c>
      <c r="AB64" s="799">
        <f t="shared" si="16"/>
        <v>0</v>
      </c>
      <c r="AC64" s="799"/>
    </row>
    <row r="65" spans="1:29" s="8" customFormat="1" x14ac:dyDescent="0.2">
      <c r="A65" s="13" t="s">
        <v>324</v>
      </c>
      <c r="B65" s="185" t="str">
        <f>ctArbeitsgebiete!D17</f>
        <v>B09</v>
      </c>
      <c r="C65" s="30"/>
      <c r="D65" s="1204" t="str">
        <f>IF(ctArbeitsgebiete!E17&lt;&gt;"",ctArbeitsgebiete!E17,"")</f>
        <v/>
      </c>
      <c r="E65" s="1205"/>
      <c r="F65" s="797">
        <f>Januar!$AJ65</f>
        <v>0</v>
      </c>
      <c r="G65" s="797">
        <f>Februar!$AJ65</f>
        <v>0</v>
      </c>
      <c r="H65" s="797">
        <f>Maerz!$AJ65</f>
        <v>0</v>
      </c>
      <c r="I65" s="797">
        <f>April!$AJ65</f>
        <v>0</v>
      </c>
      <c r="J65" s="797">
        <f>Mai!$AJ65</f>
        <v>0</v>
      </c>
      <c r="K65" s="797">
        <f>Juni!$AJ65</f>
        <v>0</v>
      </c>
      <c r="L65" s="797">
        <f>Juli!$AJ65</f>
        <v>0</v>
      </c>
      <c r="M65" s="797">
        <f>August!$AJ65</f>
        <v>0</v>
      </c>
      <c r="N65" s="797">
        <f>September!$AJ65</f>
        <v>0</v>
      </c>
      <c r="O65" s="797">
        <f>Oktober!$AJ65</f>
        <v>0</v>
      </c>
      <c r="P65" s="797">
        <f>November!$AJ65</f>
        <v>0</v>
      </c>
      <c r="Q65" s="797">
        <f>Dezember!$AJ65</f>
        <v>0</v>
      </c>
      <c r="R65" s="798">
        <f t="shared" si="20"/>
        <v>0</v>
      </c>
      <c r="T65" s="799">
        <f t="shared" si="10"/>
        <v>0</v>
      </c>
      <c r="U65" s="799">
        <f t="shared" si="11"/>
        <v>0</v>
      </c>
      <c r="V65" s="799">
        <f t="shared" si="12"/>
        <v>0</v>
      </c>
      <c r="W65" s="799">
        <f t="shared" si="13"/>
        <v>0</v>
      </c>
      <c r="X65" s="15">
        <f t="shared" si="17"/>
        <v>63</v>
      </c>
      <c r="Y65" s="799">
        <f t="shared" si="14"/>
        <v>0</v>
      </c>
      <c r="Z65" s="973" t="str">
        <f t="shared" si="19"/>
        <v/>
      </c>
      <c r="AA65" s="799">
        <f t="shared" si="15"/>
        <v>0</v>
      </c>
      <c r="AB65" s="799">
        <f t="shared" si="16"/>
        <v>0</v>
      </c>
      <c r="AC65" s="799"/>
    </row>
    <row r="66" spans="1:29" s="8" customFormat="1" x14ac:dyDescent="0.2">
      <c r="A66" s="30" t="s">
        <v>325</v>
      </c>
      <c r="B66" s="185" t="str">
        <f>ctArbeitsgebiete!D18</f>
        <v>B10</v>
      </c>
      <c r="C66" s="30"/>
      <c r="D66" s="1204" t="str">
        <f>IF(ctArbeitsgebiete!E18&lt;&gt;"",ctArbeitsgebiete!E18,"")</f>
        <v/>
      </c>
      <c r="E66" s="1205"/>
      <c r="F66" s="797">
        <f>Januar!$AJ66</f>
        <v>0</v>
      </c>
      <c r="G66" s="797">
        <f>Februar!$AJ66</f>
        <v>0</v>
      </c>
      <c r="H66" s="797">
        <f>Maerz!$AJ66</f>
        <v>0</v>
      </c>
      <c r="I66" s="797">
        <f>April!$AJ66</f>
        <v>0</v>
      </c>
      <c r="J66" s="797">
        <f>Mai!$AJ66</f>
        <v>0</v>
      </c>
      <c r="K66" s="797">
        <f>Juni!$AJ66</f>
        <v>0</v>
      </c>
      <c r="L66" s="797">
        <f>Juli!$AJ66</f>
        <v>0</v>
      </c>
      <c r="M66" s="797">
        <f>August!$AJ66</f>
        <v>0</v>
      </c>
      <c r="N66" s="797">
        <f>September!$AJ66</f>
        <v>0</v>
      </c>
      <c r="O66" s="797">
        <f>Oktober!$AJ66</f>
        <v>0</v>
      </c>
      <c r="P66" s="797">
        <f>November!$AJ66</f>
        <v>0</v>
      </c>
      <c r="Q66" s="797">
        <f>Dezember!$AJ66</f>
        <v>0</v>
      </c>
      <c r="R66" s="798">
        <f t="shared" si="20"/>
        <v>0</v>
      </c>
      <c r="T66" s="799">
        <f t="shared" si="10"/>
        <v>0</v>
      </c>
      <c r="U66" s="799">
        <f t="shared" si="11"/>
        <v>0</v>
      </c>
      <c r="V66" s="799">
        <f t="shared" si="12"/>
        <v>0</v>
      </c>
      <c r="W66" s="799">
        <f t="shared" si="13"/>
        <v>0</v>
      </c>
      <c r="X66" s="15">
        <f t="shared" si="17"/>
        <v>64</v>
      </c>
      <c r="Y66" s="799">
        <f t="shared" si="14"/>
        <v>0</v>
      </c>
      <c r="Z66" s="973" t="str">
        <f t="shared" si="19"/>
        <v/>
      </c>
      <c r="AA66" s="799">
        <f t="shared" si="15"/>
        <v>0</v>
      </c>
      <c r="AB66" s="799">
        <f t="shared" si="16"/>
        <v>0</v>
      </c>
      <c r="AC66" s="799"/>
    </row>
    <row r="67" spans="1:29" s="8" customFormat="1" x14ac:dyDescent="0.2">
      <c r="A67" s="13" t="s">
        <v>326</v>
      </c>
      <c r="B67" s="185" t="str">
        <f>ctArbeitsgebiete!D19</f>
        <v>B11</v>
      </c>
      <c r="C67" s="30"/>
      <c r="D67" s="1204" t="str">
        <f>IF(ctArbeitsgebiete!E19&lt;&gt;"",ctArbeitsgebiete!E19,"")</f>
        <v/>
      </c>
      <c r="E67" s="1205"/>
      <c r="F67" s="797">
        <f>Januar!$AJ67</f>
        <v>0</v>
      </c>
      <c r="G67" s="797">
        <f>Februar!$AJ67</f>
        <v>0</v>
      </c>
      <c r="H67" s="797">
        <f>Maerz!$AJ67</f>
        <v>0</v>
      </c>
      <c r="I67" s="797">
        <f>April!$AJ67</f>
        <v>0</v>
      </c>
      <c r="J67" s="797">
        <f>Mai!$AJ67</f>
        <v>0</v>
      </c>
      <c r="K67" s="797">
        <f>Juni!$AJ67</f>
        <v>0</v>
      </c>
      <c r="L67" s="797">
        <f>Juli!$AJ67</f>
        <v>0</v>
      </c>
      <c r="M67" s="797">
        <f>August!$AJ67</f>
        <v>0</v>
      </c>
      <c r="N67" s="797">
        <f>September!$AJ67</f>
        <v>0</v>
      </c>
      <c r="O67" s="797">
        <f>Oktober!$AJ67</f>
        <v>0</v>
      </c>
      <c r="P67" s="797">
        <f>November!$AJ67</f>
        <v>0</v>
      </c>
      <c r="Q67" s="797">
        <f>Dezember!$AJ67</f>
        <v>0</v>
      </c>
      <c r="R67" s="798">
        <f t="shared" si="20"/>
        <v>0</v>
      </c>
      <c r="T67" s="799">
        <f t="shared" si="10"/>
        <v>0</v>
      </c>
      <c r="U67" s="799">
        <f t="shared" si="11"/>
        <v>0</v>
      </c>
      <c r="V67" s="799">
        <f t="shared" si="12"/>
        <v>0</v>
      </c>
      <c r="W67" s="799">
        <f t="shared" si="13"/>
        <v>0</v>
      </c>
      <c r="X67" s="15">
        <f t="shared" si="17"/>
        <v>65</v>
      </c>
      <c r="Y67" s="799">
        <f t="shared" si="14"/>
        <v>0</v>
      </c>
      <c r="Z67" s="973" t="str">
        <f t="shared" si="19"/>
        <v/>
      </c>
      <c r="AA67" s="799">
        <f t="shared" si="15"/>
        <v>0</v>
      </c>
      <c r="AB67" s="799">
        <f t="shared" si="16"/>
        <v>0</v>
      </c>
      <c r="AC67" s="799"/>
    </row>
    <row r="68" spans="1:29" s="8" customFormat="1" x14ac:dyDescent="0.2">
      <c r="A68" s="30" t="s">
        <v>327</v>
      </c>
      <c r="B68" s="185" t="str">
        <f>ctArbeitsgebiete!D20</f>
        <v>B12</v>
      </c>
      <c r="C68" s="30"/>
      <c r="D68" s="1212" t="str">
        <f>IF(ctArbeitsgebiete!E20&lt;&gt;"",ctArbeitsgebiete!E20,"")</f>
        <v/>
      </c>
      <c r="E68" s="1213"/>
      <c r="F68" s="841">
        <f>Januar!$AJ68</f>
        <v>0</v>
      </c>
      <c r="G68" s="841">
        <f>Februar!$AJ68</f>
        <v>0</v>
      </c>
      <c r="H68" s="841">
        <f>Maerz!$AJ68</f>
        <v>0</v>
      </c>
      <c r="I68" s="841">
        <f>April!$AJ68</f>
        <v>0</v>
      </c>
      <c r="J68" s="841">
        <f>Mai!$AJ68</f>
        <v>0</v>
      </c>
      <c r="K68" s="841">
        <f>Juni!$AJ68</f>
        <v>0</v>
      </c>
      <c r="L68" s="841">
        <f>Juli!$AJ68</f>
        <v>0</v>
      </c>
      <c r="M68" s="841">
        <f>August!$AJ68</f>
        <v>0</v>
      </c>
      <c r="N68" s="841">
        <f>September!$AJ68</f>
        <v>0</v>
      </c>
      <c r="O68" s="841">
        <f>Oktober!$AJ68</f>
        <v>0</v>
      </c>
      <c r="P68" s="841">
        <f>November!$AJ68</f>
        <v>0</v>
      </c>
      <c r="Q68" s="841">
        <f>Dezember!$AJ68</f>
        <v>0</v>
      </c>
      <c r="R68" s="842">
        <f t="shared" si="20"/>
        <v>0</v>
      </c>
      <c r="T68" s="843">
        <f t="shared" si="10"/>
        <v>0</v>
      </c>
      <c r="U68" s="843">
        <f t="shared" si="11"/>
        <v>0</v>
      </c>
      <c r="V68" s="843">
        <f t="shared" si="12"/>
        <v>0</v>
      </c>
      <c r="W68" s="843">
        <f t="shared" si="13"/>
        <v>0</v>
      </c>
      <c r="X68" s="15">
        <f t="shared" si="17"/>
        <v>66</v>
      </c>
      <c r="Y68" s="843">
        <f t="shared" si="14"/>
        <v>0</v>
      </c>
      <c r="Z68" s="973" t="str">
        <f t="shared" si="19"/>
        <v/>
      </c>
      <c r="AA68" s="843">
        <f t="shared" si="15"/>
        <v>0</v>
      </c>
      <c r="AB68" s="843">
        <f t="shared" si="16"/>
        <v>0</v>
      </c>
      <c r="AC68" s="843"/>
    </row>
    <row r="69" spans="1:29" s="8" customFormat="1" x14ac:dyDescent="0.2">
      <c r="A69" s="13" t="s">
        <v>328</v>
      </c>
      <c r="B69" s="293" t="str">
        <f>ctArbeitsgebiete!G9</f>
        <v>C01</v>
      </c>
      <c r="C69" s="30"/>
      <c r="D69" s="1214" t="str">
        <f>IF(ctArbeitsgebiete!H9&lt;&gt;"",ctArbeitsgebiete!H9,"")</f>
        <v/>
      </c>
      <c r="E69" s="1215"/>
      <c r="F69" s="984">
        <f>Januar!$AJ69</f>
        <v>0</v>
      </c>
      <c r="G69" s="984">
        <f>Februar!$AJ69</f>
        <v>0</v>
      </c>
      <c r="H69" s="984">
        <f>Maerz!$AJ69</f>
        <v>0</v>
      </c>
      <c r="I69" s="984">
        <f>April!$AJ69</f>
        <v>0</v>
      </c>
      <c r="J69" s="984">
        <f>Mai!$AJ69</f>
        <v>0</v>
      </c>
      <c r="K69" s="984">
        <f>Juni!$AJ69</f>
        <v>0</v>
      </c>
      <c r="L69" s="984">
        <f>Juli!$AJ69</f>
        <v>0</v>
      </c>
      <c r="M69" s="984">
        <f>August!$AJ69</f>
        <v>0</v>
      </c>
      <c r="N69" s="984">
        <f>September!$AJ69</f>
        <v>0</v>
      </c>
      <c r="O69" s="984">
        <f>Oktober!$AJ69</f>
        <v>0</v>
      </c>
      <c r="P69" s="984">
        <f>November!$AJ69</f>
        <v>0</v>
      </c>
      <c r="Q69" s="984">
        <f>Dezember!$AJ69</f>
        <v>0</v>
      </c>
      <c r="R69" s="985">
        <f t="shared" si="20"/>
        <v>0</v>
      </c>
      <c r="T69" s="986">
        <f t="shared" si="10"/>
        <v>0</v>
      </c>
      <c r="U69" s="986">
        <f t="shared" si="11"/>
        <v>0</v>
      </c>
      <c r="V69" s="986">
        <f t="shared" si="12"/>
        <v>0</v>
      </c>
      <c r="W69" s="986">
        <f t="shared" si="13"/>
        <v>0</v>
      </c>
      <c r="X69" s="15">
        <f t="shared" si="17"/>
        <v>67</v>
      </c>
      <c r="Y69" s="986">
        <f t="shared" si="14"/>
        <v>0</v>
      </c>
      <c r="Z69" s="973" t="str">
        <f t="shared" si="19"/>
        <v/>
      </c>
      <c r="AA69" s="986">
        <f t="shared" si="15"/>
        <v>0</v>
      </c>
      <c r="AB69" s="986">
        <f t="shared" si="16"/>
        <v>0</v>
      </c>
      <c r="AC69" s="986"/>
    </row>
    <row r="70" spans="1:29" s="8" customFormat="1" x14ac:dyDescent="0.2">
      <c r="A70" s="30" t="s">
        <v>329</v>
      </c>
      <c r="B70" s="185" t="str">
        <f>ctArbeitsgebiete!G10</f>
        <v>C02</v>
      </c>
      <c r="C70" s="30"/>
      <c r="D70" s="1210" t="str">
        <f>IF(ctArbeitsgebiete!H10&lt;&gt;"",ctArbeitsgebiete!H10,"")</f>
        <v/>
      </c>
      <c r="E70" s="1211"/>
      <c r="F70" s="800">
        <f>Januar!$AJ70</f>
        <v>0</v>
      </c>
      <c r="G70" s="800">
        <f>Februar!$AJ70</f>
        <v>0</v>
      </c>
      <c r="H70" s="800">
        <f>Maerz!$AJ70</f>
        <v>0</v>
      </c>
      <c r="I70" s="800">
        <f>April!$AJ70</f>
        <v>0</v>
      </c>
      <c r="J70" s="800">
        <f>Mai!$AJ70</f>
        <v>0</v>
      </c>
      <c r="K70" s="800">
        <f>Juni!$AJ70</f>
        <v>0</v>
      </c>
      <c r="L70" s="800">
        <f>Juli!$AJ70</f>
        <v>0</v>
      </c>
      <c r="M70" s="800">
        <f>August!$AJ70</f>
        <v>0</v>
      </c>
      <c r="N70" s="800">
        <f>September!$AJ70</f>
        <v>0</v>
      </c>
      <c r="O70" s="800">
        <f>Oktober!$AJ70</f>
        <v>0</v>
      </c>
      <c r="P70" s="800">
        <f>November!$AJ70</f>
        <v>0</v>
      </c>
      <c r="Q70" s="800">
        <f>Dezember!$AJ70</f>
        <v>0</v>
      </c>
      <c r="R70" s="801">
        <f t="shared" si="20"/>
        <v>0</v>
      </c>
      <c r="T70" s="802">
        <f t="shared" si="10"/>
        <v>0</v>
      </c>
      <c r="U70" s="802">
        <f t="shared" si="11"/>
        <v>0</v>
      </c>
      <c r="V70" s="802">
        <f t="shared" si="12"/>
        <v>0</v>
      </c>
      <c r="W70" s="802">
        <f t="shared" si="13"/>
        <v>0</v>
      </c>
      <c r="X70" s="15">
        <f t="shared" si="17"/>
        <v>68</v>
      </c>
      <c r="Y70" s="802">
        <f t="shared" si="14"/>
        <v>0</v>
      </c>
      <c r="Z70" s="973" t="str">
        <f t="shared" si="19"/>
        <v/>
      </c>
      <c r="AA70" s="802">
        <f t="shared" si="15"/>
        <v>0</v>
      </c>
      <c r="AB70" s="802">
        <f t="shared" si="16"/>
        <v>0</v>
      </c>
      <c r="AC70" s="802"/>
    </row>
    <row r="71" spans="1:29" s="8" customFormat="1" x14ac:dyDescent="0.2">
      <c r="A71" s="13" t="s">
        <v>330</v>
      </c>
      <c r="B71" s="185" t="str">
        <f>ctArbeitsgebiete!G11</f>
        <v>C03</v>
      </c>
      <c r="C71" s="30"/>
      <c r="D71" s="1210" t="str">
        <f>IF(ctArbeitsgebiete!H11&lt;&gt;"",ctArbeitsgebiete!H11,"")</f>
        <v/>
      </c>
      <c r="E71" s="1211"/>
      <c r="F71" s="800">
        <f>Januar!$AJ71</f>
        <v>0</v>
      </c>
      <c r="G71" s="800">
        <f>Februar!$AJ71</f>
        <v>0</v>
      </c>
      <c r="H71" s="800">
        <f>Maerz!$AJ71</f>
        <v>0</v>
      </c>
      <c r="I71" s="800">
        <f>April!$AJ71</f>
        <v>0</v>
      </c>
      <c r="J71" s="800">
        <f>Mai!$AJ71</f>
        <v>0</v>
      </c>
      <c r="K71" s="800">
        <f>Juni!$AJ71</f>
        <v>0</v>
      </c>
      <c r="L71" s="800">
        <f>Juli!$AJ71</f>
        <v>0</v>
      </c>
      <c r="M71" s="800">
        <f>August!$AJ71</f>
        <v>0</v>
      </c>
      <c r="N71" s="800">
        <f>September!$AJ71</f>
        <v>0</v>
      </c>
      <c r="O71" s="800">
        <f>Oktober!$AJ71</f>
        <v>0</v>
      </c>
      <c r="P71" s="800">
        <f>November!$AJ71</f>
        <v>0</v>
      </c>
      <c r="Q71" s="800">
        <f>Dezember!$AJ71</f>
        <v>0</v>
      </c>
      <c r="R71" s="801">
        <f t="shared" si="20"/>
        <v>0</v>
      </c>
      <c r="T71" s="802">
        <f t="shared" si="10"/>
        <v>0</v>
      </c>
      <c r="U71" s="802">
        <f t="shared" si="11"/>
        <v>0</v>
      </c>
      <c r="V71" s="802">
        <f t="shared" si="12"/>
        <v>0</v>
      </c>
      <c r="W71" s="802">
        <f t="shared" si="13"/>
        <v>0</v>
      </c>
      <c r="X71" s="15">
        <f t="shared" si="17"/>
        <v>69</v>
      </c>
      <c r="Y71" s="802">
        <f t="shared" si="14"/>
        <v>0</v>
      </c>
      <c r="Z71" s="973" t="str">
        <f t="shared" si="19"/>
        <v/>
      </c>
      <c r="AA71" s="802">
        <f t="shared" si="15"/>
        <v>0</v>
      </c>
      <c r="AB71" s="802">
        <f t="shared" si="16"/>
        <v>0</v>
      </c>
      <c r="AC71" s="802"/>
    </row>
    <row r="72" spans="1:29" s="8" customFormat="1" x14ac:dyDescent="0.2">
      <c r="A72" s="30" t="s">
        <v>331</v>
      </c>
      <c r="B72" s="185" t="str">
        <f>ctArbeitsgebiete!G12</f>
        <v>C04</v>
      </c>
      <c r="C72" s="30"/>
      <c r="D72" s="1210" t="str">
        <f>IF(ctArbeitsgebiete!H12&lt;&gt;"",ctArbeitsgebiete!H12,"")</f>
        <v/>
      </c>
      <c r="E72" s="1211"/>
      <c r="F72" s="800">
        <f>Januar!$AJ72</f>
        <v>0</v>
      </c>
      <c r="G72" s="800">
        <f>Februar!$AJ72</f>
        <v>0</v>
      </c>
      <c r="H72" s="800">
        <f>Maerz!$AJ72</f>
        <v>0</v>
      </c>
      <c r="I72" s="800">
        <f>April!$AJ72</f>
        <v>0</v>
      </c>
      <c r="J72" s="800">
        <f>Mai!$AJ72</f>
        <v>0</v>
      </c>
      <c r="K72" s="800">
        <f>Juni!$AJ72</f>
        <v>0</v>
      </c>
      <c r="L72" s="800">
        <f>Juli!$AJ72</f>
        <v>0</v>
      </c>
      <c r="M72" s="800">
        <f>August!$AJ72</f>
        <v>0</v>
      </c>
      <c r="N72" s="800">
        <f>September!$AJ72</f>
        <v>0</v>
      </c>
      <c r="O72" s="800">
        <f>Oktober!$AJ72</f>
        <v>0</v>
      </c>
      <c r="P72" s="800">
        <f>November!$AJ72</f>
        <v>0</v>
      </c>
      <c r="Q72" s="800">
        <f>Dezember!$AJ72</f>
        <v>0</v>
      </c>
      <c r="R72" s="801">
        <f t="shared" si="20"/>
        <v>0</v>
      </c>
      <c r="T72" s="802">
        <f t="shared" si="10"/>
        <v>0</v>
      </c>
      <c r="U72" s="802">
        <f t="shared" si="11"/>
        <v>0</v>
      </c>
      <c r="V72" s="802">
        <f t="shared" si="12"/>
        <v>0</v>
      </c>
      <c r="W72" s="802">
        <f t="shared" si="13"/>
        <v>0</v>
      </c>
      <c r="X72" s="15">
        <f t="shared" si="17"/>
        <v>70</v>
      </c>
      <c r="Y72" s="802">
        <f t="shared" si="14"/>
        <v>0</v>
      </c>
      <c r="Z72" s="973" t="str">
        <f t="shared" si="19"/>
        <v/>
      </c>
      <c r="AA72" s="802">
        <f t="shared" si="15"/>
        <v>0</v>
      </c>
      <c r="AB72" s="802">
        <f t="shared" si="16"/>
        <v>0</v>
      </c>
      <c r="AC72" s="802"/>
    </row>
    <row r="73" spans="1:29" s="8" customFormat="1" x14ac:dyDescent="0.2">
      <c r="A73" s="13" t="s">
        <v>332</v>
      </c>
      <c r="B73" s="185" t="str">
        <f>ctArbeitsgebiete!G13</f>
        <v>C05</v>
      </c>
      <c r="C73" s="30"/>
      <c r="D73" s="1210" t="str">
        <f>IF(ctArbeitsgebiete!H13&lt;&gt;"",ctArbeitsgebiete!H13,"")</f>
        <v/>
      </c>
      <c r="E73" s="1211"/>
      <c r="F73" s="800">
        <f>Januar!$AJ73</f>
        <v>0</v>
      </c>
      <c r="G73" s="800">
        <f>Februar!$AJ73</f>
        <v>0</v>
      </c>
      <c r="H73" s="800">
        <f>Maerz!$AJ73</f>
        <v>0</v>
      </c>
      <c r="I73" s="800">
        <f>April!$AJ73</f>
        <v>0</v>
      </c>
      <c r="J73" s="800">
        <f>Mai!$AJ73</f>
        <v>0</v>
      </c>
      <c r="K73" s="800">
        <f>Juni!$AJ73</f>
        <v>0</v>
      </c>
      <c r="L73" s="800">
        <f>Juli!$AJ73</f>
        <v>0</v>
      </c>
      <c r="M73" s="800">
        <f>August!$AJ73</f>
        <v>0</v>
      </c>
      <c r="N73" s="800">
        <f>September!$AJ73</f>
        <v>0</v>
      </c>
      <c r="O73" s="800">
        <f>Oktober!$AJ73</f>
        <v>0</v>
      </c>
      <c r="P73" s="800">
        <f>November!$AJ73</f>
        <v>0</v>
      </c>
      <c r="Q73" s="800">
        <f>Dezember!$AJ73</f>
        <v>0</v>
      </c>
      <c r="R73" s="801">
        <f t="shared" si="20"/>
        <v>0</v>
      </c>
      <c r="T73" s="802">
        <f t="shared" si="10"/>
        <v>0</v>
      </c>
      <c r="U73" s="802">
        <f t="shared" si="11"/>
        <v>0</v>
      </c>
      <c r="V73" s="802">
        <f t="shared" si="12"/>
        <v>0</v>
      </c>
      <c r="W73" s="802">
        <f t="shared" si="13"/>
        <v>0</v>
      </c>
      <c r="X73" s="15">
        <f t="shared" si="17"/>
        <v>71</v>
      </c>
      <c r="Y73" s="802">
        <f t="shared" si="14"/>
        <v>0</v>
      </c>
      <c r="Z73" s="973" t="str">
        <f t="shared" si="19"/>
        <v/>
      </c>
      <c r="AA73" s="802">
        <f t="shared" si="15"/>
        <v>0</v>
      </c>
      <c r="AB73" s="802">
        <f t="shared" si="16"/>
        <v>0</v>
      </c>
      <c r="AC73" s="802"/>
    </row>
    <row r="74" spans="1:29" s="8" customFormat="1" x14ac:dyDescent="0.2">
      <c r="A74" s="30" t="s">
        <v>333</v>
      </c>
      <c r="B74" s="185" t="str">
        <f>ctArbeitsgebiete!G14</f>
        <v>C06</v>
      </c>
      <c r="C74" s="30"/>
      <c r="D74" s="1210" t="str">
        <f>IF(ctArbeitsgebiete!H14&lt;&gt;"",ctArbeitsgebiete!H14,"")</f>
        <v/>
      </c>
      <c r="E74" s="1211"/>
      <c r="F74" s="800">
        <f>Januar!$AJ74</f>
        <v>0</v>
      </c>
      <c r="G74" s="800">
        <f>Februar!$AJ74</f>
        <v>0</v>
      </c>
      <c r="H74" s="800">
        <f>Maerz!$AJ74</f>
        <v>0</v>
      </c>
      <c r="I74" s="800">
        <f>April!$AJ74</f>
        <v>0</v>
      </c>
      <c r="J74" s="800">
        <f>Mai!$AJ74</f>
        <v>0</v>
      </c>
      <c r="K74" s="800">
        <f>Juni!$AJ74</f>
        <v>0</v>
      </c>
      <c r="L74" s="800">
        <f>Juli!$AJ74</f>
        <v>0</v>
      </c>
      <c r="M74" s="800">
        <f>August!$AJ74</f>
        <v>0</v>
      </c>
      <c r="N74" s="800">
        <f>September!$AJ74</f>
        <v>0</v>
      </c>
      <c r="O74" s="800">
        <f>Oktober!$AJ74</f>
        <v>0</v>
      </c>
      <c r="P74" s="800">
        <f>November!$AJ74</f>
        <v>0</v>
      </c>
      <c r="Q74" s="800">
        <f>Dezember!$AJ74</f>
        <v>0</v>
      </c>
      <c r="R74" s="801">
        <f t="shared" si="20"/>
        <v>0</v>
      </c>
      <c r="T74" s="802">
        <f t="shared" si="10"/>
        <v>0</v>
      </c>
      <c r="U74" s="802">
        <f t="shared" si="11"/>
        <v>0</v>
      </c>
      <c r="V74" s="802">
        <f t="shared" si="12"/>
        <v>0</v>
      </c>
      <c r="W74" s="802">
        <f t="shared" si="13"/>
        <v>0</v>
      </c>
      <c r="X74" s="15">
        <f t="shared" si="17"/>
        <v>72</v>
      </c>
      <c r="Y74" s="802">
        <f t="shared" si="14"/>
        <v>0</v>
      </c>
      <c r="Z74" s="973" t="str">
        <f t="shared" si="19"/>
        <v/>
      </c>
      <c r="AA74" s="802">
        <f t="shared" si="15"/>
        <v>0</v>
      </c>
      <c r="AB74" s="802">
        <f t="shared" si="16"/>
        <v>0</v>
      </c>
      <c r="AC74" s="802"/>
    </row>
    <row r="75" spans="1:29" s="8" customFormat="1" x14ac:dyDescent="0.2">
      <c r="A75" s="13" t="s">
        <v>334</v>
      </c>
      <c r="B75" s="185" t="str">
        <f>ctArbeitsgebiete!G15</f>
        <v>C07</v>
      </c>
      <c r="C75" s="30"/>
      <c r="D75" s="1210" t="str">
        <f>IF(ctArbeitsgebiete!H15&lt;&gt;"",ctArbeitsgebiete!H15,"")</f>
        <v/>
      </c>
      <c r="E75" s="1211"/>
      <c r="F75" s="800">
        <f>Januar!$AJ75</f>
        <v>0</v>
      </c>
      <c r="G75" s="800">
        <f>Februar!$AJ75</f>
        <v>0</v>
      </c>
      <c r="H75" s="800">
        <f>Maerz!$AJ75</f>
        <v>0</v>
      </c>
      <c r="I75" s="800">
        <f>April!$AJ75</f>
        <v>0</v>
      </c>
      <c r="J75" s="800">
        <f>Mai!$AJ75</f>
        <v>0</v>
      </c>
      <c r="K75" s="800">
        <f>Juni!$AJ75</f>
        <v>0</v>
      </c>
      <c r="L75" s="800">
        <f>Juli!$AJ75</f>
        <v>0</v>
      </c>
      <c r="M75" s="800">
        <f>August!$AJ75</f>
        <v>0</v>
      </c>
      <c r="N75" s="800">
        <f>September!$AJ75</f>
        <v>0</v>
      </c>
      <c r="O75" s="800">
        <f>Oktober!$AJ75</f>
        <v>0</v>
      </c>
      <c r="P75" s="800">
        <f>November!$AJ75</f>
        <v>0</v>
      </c>
      <c r="Q75" s="800">
        <f>Dezember!$AJ75</f>
        <v>0</v>
      </c>
      <c r="R75" s="801">
        <f t="shared" si="20"/>
        <v>0</v>
      </c>
      <c r="T75" s="802">
        <f t="shared" si="10"/>
        <v>0</v>
      </c>
      <c r="U75" s="802">
        <f t="shared" si="11"/>
        <v>0</v>
      </c>
      <c r="V75" s="802">
        <f t="shared" si="12"/>
        <v>0</v>
      </c>
      <c r="W75" s="802">
        <f t="shared" si="13"/>
        <v>0</v>
      </c>
      <c r="X75" s="15">
        <f t="shared" si="17"/>
        <v>73</v>
      </c>
      <c r="Y75" s="802">
        <f t="shared" si="14"/>
        <v>0</v>
      </c>
      <c r="Z75" s="973" t="str">
        <f t="shared" si="19"/>
        <v/>
      </c>
      <c r="AA75" s="802">
        <f t="shared" si="15"/>
        <v>0</v>
      </c>
      <c r="AB75" s="802">
        <f t="shared" si="16"/>
        <v>0</v>
      </c>
      <c r="AC75" s="802"/>
    </row>
    <row r="76" spans="1:29" s="8" customFormat="1" x14ac:dyDescent="0.2">
      <c r="A76" s="30" t="s">
        <v>335</v>
      </c>
      <c r="B76" s="185" t="str">
        <f>ctArbeitsgebiete!G16</f>
        <v>C08</v>
      </c>
      <c r="C76" s="30"/>
      <c r="D76" s="1192" t="str">
        <f>IF(ctArbeitsgebiete!H16&lt;&gt;"",ctArbeitsgebiete!H16,"")</f>
        <v/>
      </c>
      <c r="E76" s="1193"/>
      <c r="F76" s="844">
        <f>Januar!$AJ76</f>
        <v>0</v>
      </c>
      <c r="G76" s="844">
        <f>Februar!$AJ76</f>
        <v>0</v>
      </c>
      <c r="H76" s="844">
        <f>Maerz!$AJ76</f>
        <v>0</v>
      </c>
      <c r="I76" s="844">
        <f>April!$AJ76</f>
        <v>0</v>
      </c>
      <c r="J76" s="844">
        <f>Mai!$AJ76</f>
        <v>0</v>
      </c>
      <c r="K76" s="844">
        <f>Juni!$AJ76</f>
        <v>0</v>
      </c>
      <c r="L76" s="844">
        <f>Juli!$AJ76</f>
        <v>0</v>
      </c>
      <c r="M76" s="844">
        <f>August!$AJ76</f>
        <v>0</v>
      </c>
      <c r="N76" s="844">
        <f>September!$AJ76</f>
        <v>0</v>
      </c>
      <c r="O76" s="844">
        <f>Oktober!$AJ76</f>
        <v>0</v>
      </c>
      <c r="P76" s="844">
        <f>November!$AJ76</f>
        <v>0</v>
      </c>
      <c r="Q76" s="844">
        <f>Dezember!$AJ76</f>
        <v>0</v>
      </c>
      <c r="R76" s="845">
        <f t="shared" si="20"/>
        <v>0</v>
      </c>
      <c r="T76" s="846">
        <f t="shared" si="10"/>
        <v>0</v>
      </c>
      <c r="U76" s="846">
        <f t="shared" si="11"/>
        <v>0</v>
      </c>
      <c r="V76" s="846">
        <f t="shared" si="12"/>
        <v>0</v>
      </c>
      <c r="W76" s="846">
        <f t="shared" si="13"/>
        <v>0</v>
      </c>
      <c r="X76" s="15">
        <f t="shared" si="17"/>
        <v>74</v>
      </c>
      <c r="Y76" s="846">
        <f t="shared" si="14"/>
        <v>0</v>
      </c>
      <c r="Z76" s="973" t="str">
        <f t="shared" si="19"/>
        <v/>
      </c>
      <c r="AA76" s="846">
        <f t="shared" si="15"/>
        <v>0</v>
      </c>
      <c r="AB76" s="846">
        <f t="shared" si="16"/>
        <v>0</v>
      </c>
      <c r="AC76" s="846"/>
    </row>
    <row r="77" spans="1:29" s="8" customFormat="1" x14ac:dyDescent="0.2">
      <c r="A77" s="13" t="s">
        <v>336</v>
      </c>
      <c r="B77" s="293" t="str">
        <f>ctArbeitsgebiete!J9</f>
        <v>D01</v>
      </c>
      <c r="C77" s="30"/>
      <c r="D77" s="1194" t="str">
        <f>IF(ctArbeitsgebiete!K9&lt;&gt;"",ctArbeitsgebiete!K9,"")</f>
        <v>DAG</v>
      </c>
      <c r="E77" s="1195"/>
      <c r="F77" s="987">
        <f>Januar!$AJ77</f>
        <v>0</v>
      </c>
      <c r="G77" s="987">
        <f>Februar!$AJ77</f>
        <v>0</v>
      </c>
      <c r="H77" s="987">
        <f>Maerz!$AJ77</f>
        <v>0</v>
      </c>
      <c r="I77" s="987">
        <f>April!$AJ77</f>
        <v>0</v>
      </c>
      <c r="J77" s="987">
        <f>Mai!$AJ77</f>
        <v>0</v>
      </c>
      <c r="K77" s="987">
        <f>Juni!$AJ77</f>
        <v>0</v>
      </c>
      <c r="L77" s="987">
        <f>Juli!$AJ77</f>
        <v>0</v>
      </c>
      <c r="M77" s="987">
        <f>August!$AJ77</f>
        <v>0</v>
      </c>
      <c r="N77" s="987">
        <f>September!$AJ77</f>
        <v>0</v>
      </c>
      <c r="O77" s="987">
        <f>Oktober!$AJ77</f>
        <v>0</v>
      </c>
      <c r="P77" s="987">
        <f>November!$AJ77</f>
        <v>0</v>
      </c>
      <c r="Q77" s="987">
        <f>Dezember!$AJ77</f>
        <v>0</v>
      </c>
      <c r="R77" s="975">
        <f t="shared" si="20"/>
        <v>0</v>
      </c>
      <c r="T77" s="988">
        <f t="shared" si="10"/>
        <v>0</v>
      </c>
      <c r="U77" s="988">
        <f t="shared" si="11"/>
        <v>0</v>
      </c>
      <c r="V77" s="988">
        <f t="shared" si="12"/>
        <v>0</v>
      </c>
      <c r="W77" s="988">
        <f t="shared" si="13"/>
        <v>0</v>
      </c>
      <c r="X77" s="15">
        <f t="shared" si="17"/>
        <v>75</v>
      </c>
      <c r="Y77" s="988">
        <f t="shared" si="14"/>
        <v>0</v>
      </c>
      <c r="Z77" s="973" t="str">
        <f t="shared" si="19"/>
        <v>DAG</v>
      </c>
      <c r="AA77" s="988">
        <f t="shared" si="15"/>
        <v>0</v>
      </c>
      <c r="AB77" s="988">
        <f t="shared" si="16"/>
        <v>0</v>
      </c>
      <c r="AC77" s="988"/>
    </row>
    <row r="78" spans="1:29" s="8" customFormat="1" x14ac:dyDescent="0.2">
      <c r="A78" s="30" t="s">
        <v>337</v>
      </c>
      <c r="B78" s="185" t="str">
        <f>ctArbeitsgebiete!J10</f>
        <v>D02</v>
      </c>
      <c r="C78" s="30"/>
      <c r="D78" s="1198" t="str">
        <f>IF(ctArbeitsgebiete!K10&lt;&gt;"",ctArbeitsgebiete!K10,"")</f>
        <v>Betriebsausflug</v>
      </c>
      <c r="E78" s="1199"/>
      <c r="F78" s="847">
        <f>Januar!$AJ78</f>
        <v>0</v>
      </c>
      <c r="G78" s="847">
        <f>Februar!$AJ78</f>
        <v>0</v>
      </c>
      <c r="H78" s="847">
        <f>Maerz!$AJ78</f>
        <v>0</v>
      </c>
      <c r="I78" s="847">
        <f>April!$AJ78</f>
        <v>0</v>
      </c>
      <c r="J78" s="847">
        <f>Mai!$AJ78</f>
        <v>0</v>
      </c>
      <c r="K78" s="847">
        <f>Juni!$AJ78</f>
        <v>0</v>
      </c>
      <c r="L78" s="847">
        <f>Juli!$AJ78</f>
        <v>0</v>
      </c>
      <c r="M78" s="847">
        <f>August!$AJ78</f>
        <v>0</v>
      </c>
      <c r="N78" s="847">
        <f>September!$AJ78</f>
        <v>0</v>
      </c>
      <c r="O78" s="847">
        <f>Oktober!$AJ78</f>
        <v>0</v>
      </c>
      <c r="P78" s="847">
        <f>November!$AJ78</f>
        <v>0</v>
      </c>
      <c r="Q78" s="847">
        <f>Dezember!$AJ78</f>
        <v>0</v>
      </c>
      <c r="R78" s="830">
        <f t="shared" si="20"/>
        <v>0</v>
      </c>
      <c r="T78" s="848">
        <f t="shared" si="10"/>
        <v>0</v>
      </c>
      <c r="U78" s="848">
        <f t="shared" si="11"/>
        <v>0</v>
      </c>
      <c r="V78" s="848">
        <f t="shared" si="12"/>
        <v>0</v>
      </c>
      <c r="W78" s="848">
        <f t="shared" si="13"/>
        <v>0</v>
      </c>
      <c r="X78" s="15">
        <f t="shared" si="17"/>
        <v>76</v>
      </c>
      <c r="Y78" s="848">
        <f t="shared" si="14"/>
        <v>0</v>
      </c>
      <c r="Z78" s="973" t="str">
        <f t="shared" si="19"/>
        <v>Betriebsausflug</v>
      </c>
      <c r="AA78" s="848">
        <f t="shared" si="15"/>
        <v>0</v>
      </c>
      <c r="AB78" s="848">
        <f t="shared" si="16"/>
        <v>0</v>
      </c>
      <c r="AC78" s="848"/>
    </row>
    <row r="79" spans="1:29" s="8" customFormat="1" x14ac:dyDescent="0.2">
      <c r="A79" s="13" t="s">
        <v>338</v>
      </c>
      <c r="B79" s="185" t="str">
        <f>ctArbeitsgebiete!J11</f>
        <v>D03</v>
      </c>
      <c r="C79" s="30"/>
      <c r="D79" s="1198" t="str">
        <f>IF(ctArbeitsgebiete!K11&lt;&gt;"",ctArbeitsgebiete!K11,"")</f>
        <v/>
      </c>
      <c r="E79" s="1199"/>
      <c r="F79" s="847">
        <f>Januar!$AJ79</f>
        <v>0</v>
      </c>
      <c r="G79" s="847">
        <f>Februar!$AJ79</f>
        <v>0</v>
      </c>
      <c r="H79" s="847">
        <f>Maerz!$AJ79</f>
        <v>0</v>
      </c>
      <c r="I79" s="847">
        <f>April!$AJ79</f>
        <v>0</v>
      </c>
      <c r="J79" s="847">
        <f>Mai!$AJ79</f>
        <v>0</v>
      </c>
      <c r="K79" s="847">
        <f>Juni!$AJ79</f>
        <v>0</v>
      </c>
      <c r="L79" s="847">
        <f>Juli!$AJ79</f>
        <v>0</v>
      </c>
      <c r="M79" s="847">
        <f>August!$AJ79</f>
        <v>0</v>
      </c>
      <c r="N79" s="847">
        <f>September!$AJ79</f>
        <v>0</v>
      </c>
      <c r="O79" s="847">
        <f>Oktober!$AJ79</f>
        <v>0</v>
      </c>
      <c r="P79" s="847">
        <f>November!$AJ79</f>
        <v>0</v>
      </c>
      <c r="Q79" s="847">
        <f>Dezember!$AJ79</f>
        <v>0</v>
      </c>
      <c r="R79" s="830">
        <f t="shared" si="20"/>
        <v>0</v>
      </c>
      <c r="T79" s="848">
        <f t="shared" ref="T79:T85" si="21">SUM(F79:H79)</f>
        <v>0</v>
      </c>
      <c r="U79" s="848">
        <f t="shared" ref="U79:U85" si="22">SUM(I79:K79)</f>
        <v>0</v>
      </c>
      <c r="V79" s="848">
        <f t="shared" ref="V79:V85" si="23">SUM(L79:N79)</f>
        <v>0</v>
      </c>
      <c r="W79" s="848">
        <f t="shared" ref="W79:W85" si="24">SUM(O79:Q79)</f>
        <v>0</v>
      </c>
      <c r="X79" s="15">
        <f t="shared" si="17"/>
        <v>77</v>
      </c>
      <c r="Y79" s="848">
        <f t="shared" ref="Y79:Y84" si="25">HLOOKUP(BerichtQuelleA,TotalJahr,X79)</f>
        <v>0</v>
      </c>
      <c r="Z79" s="973" t="str">
        <f t="shared" si="19"/>
        <v/>
      </c>
      <c r="AA79" s="848">
        <f t="shared" ref="AA79:AA84" si="26">HLOOKUP(BerichtQuelleB,TotalJahr,X79)</f>
        <v>0</v>
      </c>
      <c r="AB79" s="848">
        <f t="shared" ref="AB79:AB84" si="27">HLOOKUP(BerichtQuelleD,TotalJahr,X79)</f>
        <v>0</v>
      </c>
      <c r="AC79" s="848"/>
    </row>
    <row r="80" spans="1:29" s="8" customFormat="1" x14ac:dyDescent="0.2">
      <c r="A80" s="30" t="s">
        <v>339</v>
      </c>
      <c r="B80" s="185" t="str">
        <f>ctArbeitsgebiete!J12</f>
        <v>D04</v>
      </c>
      <c r="C80" s="30"/>
      <c r="D80" s="1198" t="str">
        <f>IF(ctArbeitsgebiete!K12&lt;&gt;"",ctArbeitsgebiete!K12,"")</f>
        <v/>
      </c>
      <c r="E80" s="1199"/>
      <c r="F80" s="847">
        <f>Januar!$AJ80</f>
        <v>0</v>
      </c>
      <c r="G80" s="847">
        <f>Februar!$AJ80</f>
        <v>0</v>
      </c>
      <c r="H80" s="847">
        <f>Maerz!$AJ80</f>
        <v>0</v>
      </c>
      <c r="I80" s="847">
        <f>April!$AJ80</f>
        <v>0</v>
      </c>
      <c r="J80" s="847">
        <f>Mai!$AJ80</f>
        <v>0</v>
      </c>
      <c r="K80" s="847">
        <f>Juni!$AJ80</f>
        <v>0</v>
      </c>
      <c r="L80" s="847">
        <f>Juli!$AJ80</f>
        <v>0</v>
      </c>
      <c r="M80" s="847">
        <f>August!$AJ80</f>
        <v>0</v>
      </c>
      <c r="N80" s="847">
        <f>September!$AJ80</f>
        <v>0</v>
      </c>
      <c r="O80" s="847">
        <f>Oktober!$AJ80</f>
        <v>0</v>
      </c>
      <c r="P80" s="847">
        <f>November!$AJ80</f>
        <v>0</v>
      </c>
      <c r="Q80" s="847">
        <f>Dezember!$AJ80</f>
        <v>0</v>
      </c>
      <c r="R80" s="830">
        <f t="shared" si="20"/>
        <v>0</v>
      </c>
      <c r="T80" s="848">
        <f t="shared" si="21"/>
        <v>0</v>
      </c>
      <c r="U80" s="848">
        <f t="shared" si="22"/>
        <v>0</v>
      </c>
      <c r="V80" s="848">
        <f t="shared" si="23"/>
        <v>0</v>
      </c>
      <c r="W80" s="848">
        <f t="shared" si="24"/>
        <v>0</v>
      </c>
      <c r="X80" s="15">
        <f t="shared" ref="X80:X127" si="28">X79+1</f>
        <v>78</v>
      </c>
      <c r="Y80" s="848">
        <f t="shared" si="25"/>
        <v>0</v>
      </c>
      <c r="Z80" s="973" t="str">
        <f t="shared" si="19"/>
        <v/>
      </c>
      <c r="AA80" s="848">
        <f t="shared" si="26"/>
        <v>0</v>
      </c>
      <c r="AB80" s="848">
        <f t="shared" si="27"/>
        <v>0</v>
      </c>
      <c r="AC80" s="848"/>
    </row>
    <row r="81" spans="1:29" s="8" customFormat="1" x14ac:dyDescent="0.2">
      <c r="A81" s="13" t="s">
        <v>340</v>
      </c>
      <c r="B81" s="185" t="str">
        <f>ctArbeitsgebiete!J13</f>
        <v>D05</v>
      </c>
      <c r="C81" s="30"/>
      <c r="D81" s="1198" t="str">
        <f>IF(ctArbeitsgebiete!K13&lt;&gt;"",ctArbeitsgebiete!K13,"")</f>
        <v/>
      </c>
      <c r="E81" s="1199"/>
      <c r="F81" s="847">
        <f>Januar!$AJ81</f>
        <v>0</v>
      </c>
      <c r="G81" s="847">
        <f>Februar!$AJ81</f>
        <v>0</v>
      </c>
      <c r="H81" s="847">
        <f>Maerz!$AJ81</f>
        <v>0</v>
      </c>
      <c r="I81" s="847">
        <f>April!$AJ81</f>
        <v>0</v>
      </c>
      <c r="J81" s="847">
        <f>Mai!$AJ81</f>
        <v>0</v>
      </c>
      <c r="K81" s="847">
        <f>Juni!$AJ81</f>
        <v>0</v>
      </c>
      <c r="L81" s="847">
        <f>Juli!$AJ81</f>
        <v>0</v>
      </c>
      <c r="M81" s="847">
        <f>August!$AJ81</f>
        <v>0</v>
      </c>
      <c r="N81" s="847">
        <f>September!$AJ81</f>
        <v>0</v>
      </c>
      <c r="O81" s="847">
        <f>Oktober!$AJ81</f>
        <v>0</v>
      </c>
      <c r="P81" s="847">
        <f>November!$AJ81</f>
        <v>0</v>
      </c>
      <c r="Q81" s="847">
        <f>Dezember!$AJ81</f>
        <v>0</v>
      </c>
      <c r="R81" s="830">
        <f t="shared" si="20"/>
        <v>0</v>
      </c>
      <c r="T81" s="848">
        <f t="shared" si="21"/>
        <v>0</v>
      </c>
      <c r="U81" s="848">
        <f t="shared" si="22"/>
        <v>0</v>
      </c>
      <c r="V81" s="848">
        <f t="shared" si="23"/>
        <v>0</v>
      </c>
      <c r="W81" s="848">
        <f t="shared" si="24"/>
        <v>0</v>
      </c>
      <c r="X81" s="15">
        <f t="shared" si="28"/>
        <v>79</v>
      </c>
      <c r="Y81" s="848">
        <f t="shared" si="25"/>
        <v>0</v>
      </c>
      <c r="Z81" s="973" t="str">
        <f t="shared" si="19"/>
        <v/>
      </c>
      <c r="AA81" s="848">
        <f t="shared" si="26"/>
        <v>0</v>
      </c>
      <c r="AB81" s="848">
        <f t="shared" si="27"/>
        <v>0</v>
      </c>
      <c r="AC81" s="848"/>
    </row>
    <row r="82" spans="1:29" s="8" customFormat="1" x14ac:dyDescent="0.2">
      <c r="A82" s="30" t="s">
        <v>341</v>
      </c>
      <c r="B82" s="185" t="str">
        <f>ctArbeitsgebiete!J14</f>
        <v>D06</v>
      </c>
      <c r="C82" s="30"/>
      <c r="D82" s="1198" t="str">
        <f>IF(ctArbeitsgebiete!K14&lt;&gt;"",ctArbeitsgebiete!K14,"")</f>
        <v/>
      </c>
      <c r="E82" s="1199"/>
      <c r="F82" s="847">
        <f>Januar!$AJ82</f>
        <v>0</v>
      </c>
      <c r="G82" s="847">
        <f>Februar!$AJ82</f>
        <v>0</v>
      </c>
      <c r="H82" s="847">
        <f>Maerz!$AJ82</f>
        <v>0</v>
      </c>
      <c r="I82" s="847">
        <f>April!$AJ82</f>
        <v>0</v>
      </c>
      <c r="J82" s="847">
        <f>Mai!$AJ82</f>
        <v>0</v>
      </c>
      <c r="K82" s="847">
        <f>Juni!$AJ82</f>
        <v>0</v>
      </c>
      <c r="L82" s="847">
        <f>Juli!$AJ82</f>
        <v>0</v>
      </c>
      <c r="M82" s="847">
        <f>August!$AJ82</f>
        <v>0</v>
      </c>
      <c r="N82" s="847">
        <f>September!$AJ82</f>
        <v>0</v>
      </c>
      <c r="O82" s="847">
        <f>Oktober!$AJ82</f>
        <v>0</v>
      </c>
      <c r="P82" s="847">
        <f>November!$AJ82</f>
        <v>0</v>
      </c>
      <c r="Q82" s="847">
        <f>Dezember!$AJ82</f>
        <v>0</v>
      </c>
      <c r="R82" s="830">
        <f t="shared" si="20"/>
        <v>0</v>
      </c>
      <c r="T82" s="848">
        <f t="shared" si="21"/>
        <v>0</v>
      </c>
      <c r="U82" s="848">
        <f t="shared" si="22"/>
        <v>0</v>
      </c>
      <c r="V82" s="848">
        <f t="shared" si="23"/>
        <v>0</v>
      </c>
      <c r="W82" s="848">
        <f t="shared" si="24"/>
        <v>0</v>
      </c>
      <c r="X82" s="15">
        <f t="shared" si="28"/>
        <v>80</v>
      </c>
      <c r="Y82" s="848">
        <f t="shared" si="25"/>
        <v>0</v>
      </c>
      <c r="Z82" s="973" t="str">
        <f t="shared" si="19"/>
        <v/>
      </c>
      <c r="AA82" s="848">
        <f t="shared" si="26"/>
        <v>0</v>
      </c>
      <c r="AB82" s="848">
        <f t="shared" si="27"/>
        <v>0</v>
      </c>
      <c r="AC82" s="848"/>
    </row>
    <row r="83" spans="1:29" s="8" customFormat="1" x14ac:dyDescent="0.2">
      <c r="A83" s="13" t="s">
        <v>342</v>
      </c>
      <c r="B83" s="185" t="str">
        <f>ctArbeitsgebiete!J15</f>
        <v>D07</v>
      </c>
      <c r="C83" s="30"/>
      <c r="D83" s="1198" t="str">
        <f>IF(ctArbeitsgebiete!K15&lt;&gt;"",ctArbeitsgebiete!K15,"")</f>
        <v/>
      </c>
      <c r="E83" s="1199"/>
      <c r="F83" s="847">
        <f>Januar!$AJ83</f>
        <v>0</v>
      </c>
      <c r="G83" s="847">
        <f>Februar!$AJ83</f>
        <v>0</v>
      </c>
      <c r="H83" s="847">
        <f>Maerz!$AJ83</f>
        <v>0</v>
      </c>
      <c r="I83" s="847">
        <f>April!$AJ83</f>
        <v>0</v>
      </c>
      <c r="J83" s="847">
        <f>Mai!$AJ83</f>
        <v>0</v>
      </c>
      <c r="K83" s="847">
        <f>Juni!$AJ83</f>
        <v>0</v>
      </c>
      <c r="L83" s="847">
        <f>Juli!$AJ83</f>
        <v>0</v>
      </c>
      <c r="M83" s="847">
        <f>August!$AJ83</f>
        <v>0</v>
      </c>
      <c r="N83" s="847">
        <f>September!$AJ83</f>
        <v>0</v>
      </c>
      <c r="O83" s="847">
        <f>Oktober!$AJ83</f>
        <v>0</v>
      </c>
      <c r="P83" s="847">
        <f>November!$AJ83</f>
        <v>0</v>
      </c>
      <c r="Q83" s="847">
        <f>Dezember!$AJ83</f>
        <v>0</v>
      </c>
      <c r="R83" s="830">
        <f t="shared" si="20"/>
        <v>0</v>
      </c>
      <c r="T83" s="848">
        <f t="shared" si="21"/>
        <v>0</v>
      </c>
      <c r="U83" s="848">
        <f t="shared" si="22"/>
        <v>0</v>
      </c>
      <c r="V83" s="848">
        <f t="shared" si="23"/>
        <v>0</v>
      </c>
      <c r="W83" s="848">
        <f t="shared" si="24"/>
        <v>0</v>
      </c>
      <c r="X83" s="15">
        <f t="shared" si="28"/>
        <v>81</v>
      </c>
      <c r="Y83" s="848">
        <f t="shared" si="25"/>
        <v>0</v>
      </c>
      <c r="Z83" s="973" t="str">
        <f t="shared" si="19"/>
        <v/>
      </c>
      <c r="AA83" s="848">
        <f t="shared" si="26"/>
        <v>0</v>
      </c>
      <c r="AB83" s="848">
        <f t="shared" si="27"/>
        <v>0</v>
      </c>
      <c r="AC83" s="848"/>
    </row>
    <row r="84" spans="1:29" s="8" customFormat="1" ht="13.5" thickBot="1" x14ac:dyDescent="0.25">
      <c r="A84" s="30" t="s">
        <v>343</v>
      </c>
      <c r="B84" s="307" t="str">
        <f>ctArbeitsgebiete!J16</f>
        <v>D08</v>
      </c>
      <c r="C84" s="30"/>
      <c r="D84" s="1200" t="str">
        <f>IF(ctArbeitsgebiete!K16&lt;&gt;"",ctArbeitsgebiete!K16,"")</f>
        <v/>
      </c>
      <c r="E84" s="1201"/>
      <c r="F84" s="849">
        <f>Januar!$AJ84</f>
        <v>0</v>
      </c>
      <c r="G84" s="849">
        <f>Februar!$AJ84</f>
        <v>0</v>
      </c>
      <c r="H84" s="849">
        <f>Maerz!$AJ84</f>
        <v>0</v>
      </c>
      <c r="I84" s="849">
        <f>April!$AJ84</f>
        <v>0</v>
      </c>
      <c r="J84" s="849">
        <f>Mai!$AJ84</f>
        <v>0</v>
      </c>
      <c r="K84" s="849">
        <f>Juni!$AJ84</f>
        <v>0</v>
      </c>
      <c r="L84" s="849">
        <f>Juli!$AJ84</f>
        <v>0</v>
      </c>
      <c r="M84" s="849">
        <f>August!$AJ84</f>
        <v>0</v>
      </c>
      <c r="N84" s="849">
        <f>September!$AJ84</f>
        <v>0</v>
      </c>
      <c r="O84" s="849">
        <f>Oktober!$AJ84</f>
        <v>0</v>
      </c>
      <c r="P84" s="849">
        <f>November!$AJ84</f>
        <v>0</v>
      </c>
      <c r="Q84" s="849">
        <f>Dezember!$AJ84</f>
        <v>0</v>
      </c>
      <c r="R84" s="850">
        <f t="shared" si="20"/>
        <v>0</v>
      </c>
      <c r="T84" s="805">
        <f t="shared" si="21"/>
        <v>0</v>
      </c>
      <c r="U84" s="805">
        <f t="shared" si="22"/>
        <v>0</v>
      </c>
      <c r="V84" s="805">
        <f t="shared" si="23"/>
        <v>0</v>
      </c>
      <c r="W84" s="805">
        <f t="shared" si="24"/>
        <v>0</v>
      </c>
      <c r="X84" s="15">
        <f t="shared" si="28"/>
        <v>82</v>
      </c>
      <c r="Y84" s="805">
        <f t="shared" si="25"/>
        <v>0</v>
      </c>
      <c r="Z84" s="973" t="str">
        <f t="shared" si="19"/>
        <v/>
      </c>
      <c r="AA84" s="805">
        <f t="shared" si="26"/>
        <v>0</v>
      </c>
      <c r="AB84" s="805">
        <f t="shared" si="27"/>
        <v>0</v>
      </c>
      <c r="AC84" s="805"/>
    </row>
    <row r="85" spans="1:29" s="30" customFormat="1" ht="13.5" hidden="1" outlineLevel="1" thickBot="1" x14ac:dyDescent="0.25">
      <c r="A85" s="13" t="s">
        <v>344</v>
      </c>
      <c r="B85" s="308"/>
      <c r="C85" s="303"/>
      <c r="D85" s="1196" t="str">
        <f>Januar!C85</f>
        <v>Geleistete Überzeit</v>
      </c>
      <c r="E85" s="1197"/>
      <c r="F85" s="851">
        <f>Januar!$AJ85</f>
        <v>0</v>
      </c>
      <c r="G85" s="851">
        <f>Februar!$AJ85</f>
        <v>0</v>
      </c>
      <c r="H85" s="851">
        <f>Maerz!$AJ85</f>
        <v>0</v>
      </c>
      <c r="I85" s="851">
        <f>April!$AJ85</f>
        <v>0</v>
      </c>
      <c r="J85" s="851">
        <f>Mai!$AJ85</f>
        <v>0</v>
      </c>
      <c r="K85" s="851">
        <f>Juni!$AJ85</f>
        <v>0</v>
      </c>
      <c r="L85" s="851">
        <f>Juli!$AJ85</f>
        <v>0</v>
      </c>
      <c r="M85" s="851">
        <f>August!$AJ85</f>
        <v>0</v>
      </c>
      <c r="N85" s="851">
        <f>September!$AJ85</f>
        <v>0</v>
      </c>
      <c r="O85" s="851">
        <f>Oktober!$AJ85</f>
        <v>0</v>
      </c>
      <c r="P85" s="851">
        <f>November!$AJ85</f>
        <v>0</v>
      </c>
      <c r="Q85" s="851">
        <f>Dezember!$AJ85</f>
        <v>0</v>
      </c>
      <c r="R85" s="309">
        <f t="shared" si="20"/>
        <v>0</v>
      </c>
      <c r="T85" s="989">
        <f t="shared" si="21"/>
        <v>0</v>
      </c>
      <c r="U85" s="990">
        <f t="shared" si="22"/>
        <v>0</v>
      </c>
      <c r="V85" s="990">
        <f t="shared" si="23"/>
        <v>0</v>
      </c>
      <c r="W85" s="991">
        <f t="shared" si="24"/>
        <v>0</v>
      </c>
      <c r="X85" s="15">
        <f t="shared" si="28"/>
        <v>83</v>
      </c>
      <c r="Y85" s="990"/>
      <c r="Z85" s="973" t="str">
        <f t="shared" si="19"/>
        <v>Geleistete Überzeit</v>
      </c>
      <c r="AA85" s="990"/>
      <c r="AB85" s="990"/>
      <c r="AC85" s="990"/>
    </row>
    <row r="86" spans="1:29" ht="21.75" hidden="1" customHeight="1" outlineLevel="1" x14ac:dyDescent="0.2">
      <c r="D86" s="310"/>
      <c r="E86" s="7"/>
      <c r="F86" s="7"/>
      <c r="G86" s="7"/>
      <c r="H86" s="7"/>
      <c r="I86" s="7"/>
      <c r="J86" s="7"/>
      <c r="K86" s="7"/>
      <c r="L86" s="7"/>
      <c r="M86" s="7"/>
      <c r="N86" s="7"/>
      <c r="O86" s="7"/>
      <c r="P86" s="7"/>
      <c r="Q86" s="7"/>
      <c r="R86" s="7"/>
      <c r="X86" s="15">
        <f t="shared" si="28"/>
        <v>84</v>
      </c>
      <c r="Z86" s="30"/>
    </row>
    <row r="87" spans="1:29" ht="13.5" hidden="1" outlineLevel="1" thickBot="1" x14ac:dyDescent="0.25">
      <c r="X87" s="15">
        <f t="shared" si="28"/>
        <v>85</v>
      </c>
      <c r="Z87" s="30"/>
    </row>
    <row r="88" spans="1:29" ht="13.5" hidden="1" outlineLevel="1" thickBot="1" x14ac:dyDescent="0.25">
      <c r="X88" s="15">
        <f t="shared" si="28"/>
        <v>86</v>
      </c>
      <c r="Z88" s="30"/>
    </row>
    <row r="89" spans="1:29" ht="13.5" hidden="1" outlineLevel="1" thickBot="1" x14ac:dyDescent="0.25">
      <c r="X89" s="15">
        <f t="shared" si="28"/>
        <v>87</v>
      </c>
      <c r="Z89" s="30"/>
    </row>
    <row r="90" spans="1:29" ht="13.5" hidden="1" outlineLevel="1" thickBot="1" x14ac:dyDescent="0.25">
      <c r="X90" s="15">
        <f t="shared" si="28"/>
        <v>88</v>
      </c>
      <c r="Z90" s="30"/>
    </row>
    <row r="91" spans="1:29" ht="13.5" hidden="1" outlineLevel="1" thickBot="1" x14ac:dyDescent="0.25">
      <c r="X91" s="15">
        <f t="shared" si="28"/>
        <v>89</v>
      </c>
      <c r="Z91" s="30"/>
    </row>
    <row r="92" spans="1:29" ht="13.5" hidden="1" outlineLevel="1" thickBot="1" x14ac:dyDescent="0.25">
      <c r="X92" s="15">
        <f t="shared" si="28"/>
        <v>90</v>
      </c>
      <c r="Z92" s="30"/>
    </row>
    <row r="93" spans="1:29" ht="13.5" hidden="1" outlineLevel="1" thickBot="1" x14ac:dyDescent="0.25">
      <c r="X93" s="15">
        <f t="shared" si="28"/>
        <v>91</v>
      </c>
      <c r="Z93" s="30"/>
    </row>
    <row r="94" spans="1:29" ht="13.5" hidden="1" outlineLevel="1" thickBot="1" x14ac:dyDescent="0.25">
      <c r="X94" s="15">
        <f t="shared" si="28"/>
        <v>92</v>
      </c>
      <c r="Z94" s="30"/>
    </row>
    <row r="95" spans="1:29" ht="13.5" hidden="1" outlineLevel="1" thickBot="1" x14ac:dyDescent="0.25">
      <c r="X95" s="15">
        <f t="shared" si="28"/>
        <v>93</v>
      </c>
      <c r="Z95" s="30"/>
    </row>
    <row r="96" spans="1:29" ht="13.5" hidden="1" outlineLevel="1" thickBot="1" x14ac:dyDescent="0.25">
      <c r="X96" s="15">
        <f t="shared" si="28"/>
        <v>94</v>
      </c>
      <c r="Z96" s="30"/>
    </row>
    <row r="97" spans="24:24" ht="13.5" hidden="1" outlineLevel="1" thickBot="1" x14ac:dyDescent="0.25">
      <c r="X97" s="15">
        <f t="shared" si="28"/>
        <v>95</v>
      </c>
    </row>
    <row r="98" spans="24:24" ht="13.5" hidden="1" outlineLevel="1" thickBot="1" x14ac:dyDescent="0.25">
      <c r="X98" s="15">
        <f t="shared" si="28"/>
        <v>96</v>
      </c>
    </row>
    <row r="99" spans="24:24" ht="13.5" hidden="1" outlineLevel="1" thickBot="1" x14ac:dyDescent="0.25">
      <c r="X99" s="15">
        <f t="shared" si="28"/>
        <v>97</v>
      </c>
    </row>
    <row r="100" spans="24:24" ht="13.5" hidden="1" outlineLevel="1" thickBot="1" x14ac:dyDescent="0.25">
      <c r="X100" s="15">
        <f t="shared" si="28"/>
        <v>98</v>
      </c>
    </row>
    <row r="101" spans="24:24" ht="13.5" hidden="1" outlineLevel="1" thickBot="1" x14ac:dyDescent="0.25">
      <c r="X101" s="15">
        <f t="shared" si="28"/>
        <v>99</v>
      </c>
    </row>
    <row r="102" spans="24:24" ht="13.5" hidden="1" outlineLevel="1" thickBot="1" x14ac:dyDescent="0.25">
      <c r="X102" s="15">
        <f t="shared" si="28"/>
        <v>100</v>
      </c>
    </row>
    <row r="103" spans="24:24" ht="13.5" hidden="1" outlineLevel="1" thickBot="1" x14ac:dyDescent="0.25">
      <c r="X103" s="15">
        <f t="shared" si="28"/>
        <v>101</v>
      </c>
    </row>
    <row r="104" spans="24:24" ht="13.5" hidden="1" outlineLevel="1" thickBot="1" x14ac:dyDescent="0.25">
      <c r="X104" s="15">
        <f t="shared" si="28"/>
        <v>102</v>
      </c>
    </row>
    <row r="105" spans="24:24" ht="13.5" hidden="1" outlineLevel="1" thickBot="1" x14ac:dyDescent="0.25">
      <c r="X105" s="15">
        <f t="shared" si="28"/>
        <v>103</v>
      </c>
    </row>
    <row r="106" spans="24:24" ht="13.5" hidden="1" outlineLevel="1" thickBot="1" x14ac:dyDescent="0.25">
      <c r="X106" s="15">
        <f t="shared" si="28"/>
        <v>104</v>
      </c>
    </row>
    <row r="107" spans="24:24" ht="13.5" hidden="1" outlineLevel="1" thickBot="1" x14ac:dyDescent="0.25">
      <c r="X107" s="15">
        <f t="shared" si="28"/>
        <v>105</v>
      </c>
    </row>
    <row r="108" spans="24:24" ht="13.5" hidden="1" outlineLevel="1" thickBot="1" x14ac:dyDescent="0.25">
      <c r="X108" s="15">
        <f t="shared" si="28"/>
        <v>106</v>
      </c>
    </row>
    <row r="109" spans="24:24" ht="13.5" hidden="1" outlineLevel="1" thickBot="1" x14ac:dyDescent="0.25">
      <c r="X109" s="15">
        <f t="shared" si="28"/>
        <v>107</v>
      </c>
    </row>
    <row r="110" spans="24:24" ht="13.5" hidden="1" outlineLevel="1" thickBot="1" x14ac:dyDescent="0.25">
      <c r="X110" s="15">
        <f t="shared" si="28"/>
        <v>108</v>
      </c>
    </row>
    <row r="111" spans="24:24" ht="13.5" hidden="1" outlineLevel="1" thickBot="1" x14ac:dyDescent="0.25">
      <c r="X111" s="15">
        <f t="shared" si="28"/>
        <v>109</v>
      </c>
    </row>
    <row r="112" spans="24:24" ht="13.5" hidden="1" outlineLevel="1" thickBot="1" x14ac:dyDescent="0.25">
      <c r="X112" s="15">
        <f t="shared" si="28"/>
        <v>110</v>
      </c>
    </row>
    <row r="113" spans="4:29" ht="13.5" hidden="1" outlineLevel="1" thickBot="1" x14ac:dyDescent="0.25">
      <c r="X113" s="15">
        <f t="shared" si="28"/>
        <v>111</v>
      </c>
      <c r="Z113" s="30"/>
    </row>
    <row r="114" spans="4:29" ht="13.5" hidden="1" outlineLevel="1" thickBot="1" x14ac:dyDescent="0.25">
      <c r="X114" s="15">
        <f t="shared" si="28"/>
        <v>112</v>
      </c>
      <c r="Z114" s="30"/>
    </row>
    <row r="115" spans="4:29" ht="13.5" hidden="1" outlineLevel="1" thickBot="1" x14ac:dyDescent="0.25">
      <c r="X115" s="15">
        <f t="shared" si="28"/>
        <v>113</v>
      </c>
      <c r="Z115" s="30"/>
    </row>
    <row r="116" spans="4:29" collapsed="1" x14ac:dyDescent="0.2">
      <c r="D116" s="1202" t="str">
        <f>IF(ctArbeitsgebiete!H20&lt;&gt;"",ctArbeitsgebiete!H20,"")</f>
        <v/>
      </c>
      <c r="E116" s="1203"/>
      <c r="F116" s="852">
        <f>Januar!$AJ94</f>
        <v>0</v>
      </c>
      <c r="G116" s="852">
        <f>Februar!$AJ94</f>
        <v>0</v>
      </c>
      <c r="H116" s="852">
        <f>Maerz!$AJ94</f>
        <v>0</v>
      </c>
      <c r="I116" s="852">
        <f>April!$AJ94</f>
        <v>0</v>
      </c>
      <c r="J116" s="852">
        <f>Mai!$AJ94</f>
        <v>0</v>
      </c>
      <c r="K116" s="852">
        <f>Juni!$AJ94</f>
        <v>0</v>
      </c>
      <c r="L116" s="852">
        <f>Juli!$AJ94</f>
        <v>0</v>
      </c>
      <c r="M116" s="852">
        <f>August!$AJ94</f>
        <v>0</v>
      </c>
      <c r="N116" s="852">
        <f>September!$AJ94</f>
        <v>0</v>
      </c>
      <c r="O116" s="852">
        <f>Oktober!$AJ94</f>
        <v>0</v>
      </c>
      <c r="P116" s="852">
        <f>November!$AJ94</f>
        <v>0</v>
      </c>
      <c r="Q116" s="852">
        <f>Dezember!$AJ94</f>
        <v>0</v>
      </c>
      <c r="R116" s="853">
        <f>SUM(F116:Q116)</f>
        <v>0</v>
      </c>
      <c r="T116" s="854">
        <f t="shared" ref="T116:T127" si="29">SUM(F116:H116)</f>
        <v>0</v>
      </c>
      <c r="U116" s="854">
        <f t="shared" ref="U116:U127" si="30">SUM(I116:K116)</f>
        <v>0</v>
      </c>
      <c r="V116" s="854">
        <f t="shared" ref="V116:V127" si="31">SUM(L116:N116)</f>
        <v>0</v>
      </c>
      <c r="W116" s="854">
        <f t="shared" ref="W116:W127" si="32">SUM(O116:Q116)</f>
        <v>0</v>
      </c>
      <c r="X116" s="15">
        <f t="shared" si="28"/>
        <v>114</v>
      </c>
      <c r="Y116" s="854">
        <f t="shared" ref="Y116:Y127" si="33">HLOOKUP(BerichtQuelleA,TotalJahr,X116)</f>
        <v>0</v>
      </c>
      <c r="Z116" s="855" t="str">
        <f t="shared" ref="Z116:Z127" si="34">D116</f>
        <v/>
      </c>
      <c r="AA116" s="854">
        <f t="shared" ref="AA116:AA127" si="35">HLOOKUP(BerichtQuelleB,TotalJahr,X116)</f>
        <v>0</v>
      </c>
      <c r="AB116" s="854">
        <f t="shared" ref="AB116:AB127" si="36">HLOOKUP(BerichtQuelleD,TotalJahr,X116)</f>
        <v>0</v>
      </c>
      <c r="AC116" s="854">
        <f>HLOOKUP(BerichtQuelleF,TotalJahr,X116)</f>
        <v>0</v>
      </c>
    </row>
    <row r="117" spans="4:29" x14ac:dyDescent="0.2">
      <c r="D117" s="1188" t="str">
        <f>IF(ctArbeitsgebiete!H21&lt;&gt;"",ctArbeitsgebiete!H21,"")</f>
        <v/>
      </c>
      <c r="E117" s="1189"/>
      <c r="F117" s="856">
        <f>Januar!$AJ95</f>
        <v>0</v>
      </c>
      <c r="G117" s="856">
        <f>Februar!$AJ95</f>
        <v>0</v>
      </c>
      <c r="H117" s="856">
        <f>Maerz!$AJ95</f>
        <v>0</v>
      </c>
      <c r="I117" s="856">
        <f>April!$AJ95</f>
        <v>0</v>
      </c>
      <c r="J117" s="856">
        <f>Mai!$AJ95</f>
        <v>0</v>
      </c>
      <c r="K117" s="856">
        <f>Juni!$AJ95</f>
        <v>0</v>
      </c>
      <c r="L117" s="856">
        <f>Juli!$AJ95</f>
        <v>0</v>
      </c>
      <c r="M117" s="856">
        <f>August!$AJ95</f>
        <v>0</v>
      </c>
      <c r="N117" s="856">
        <f>September!$AJ95</f>
        <v>0</v>
      </c>
      <c r="O117" s="856">
        <f>Oktober!$AJ95</f>
        <v>0</v>
      </c>
      <c r="P117" s="856">
        <f>November!$AJ95</f>
        <v>0</v>
      </c>
      <c r="Q117" s="856">
        <f>Dezember!$AJ95</f>
        <v>0</v>
      </c>
      <c r="R117" s="857">
        <f t="shared" ref="R117:R127" si="37">SUM(F117:Q117)</f>
        <v>0</v>
      </c>
      <c r="T117" s="858">
        <f t="shared" si="29"/>
        <v>0</v>
      </c>
      <c r="U117" s="858">
        <f t="shared" si="30"/>
        <v>0</v>
      </c>
      <c r="V117" s="858">
        <f t="shared" si="31"/>
        <v>0</v>
      </c>
      <c r="W117" s="858">
        <f t="shared" si="32"/>
        <v>0</v>
      </c>
      <c r="X117" s="15">
        <f t="shared" si="28"/>
        <v>115</v>
      </c>
      <c r="Y117" s="858">
        <f t="shared" si="33"/>
        <v>0</v>
      </c>
      <c r="Z117" s="973" t="str">
        <f t="shared" si="34"/>
        <v/>
      </c>
      <c r="AA117" s="858">
        <f t="shared" si="35"/>
        <v>0</v>
      </c>
      <c r="AB117" s="858">
        <f t="shared" si="36"/>
        <v>0</v>
      </c>
      <c r="AC117" s="858">
        <f t="shared" ref="AC117:AC127" si="38">HLOOKUP(BerichtQuelleF,TotalJahr,X117)</f>
        <v>0</v>
      </c>
    </row>
    <row r="118" spans="4:29" x14ac:dyDescent="0.2">
      <c r="D118" s="1188" t="str">
        <f>IF(ctArbeitsgebiete!H22&lt;&gt;"",ctArbeitsgebiete!H22,"")</f>
        <v/>
      </c>
      <c r="E118" s="1189"/>
      <c r="F118" s="856">
        <f>Januar!$AJ96</f>
        <v>0</v>
      </c>
      <c r="G118" s="856">
        <f>Februar!$AJ96</f>
        <v>0</v>
      </c>
      <c r="H118" s="856">
        <f>Maerz!$AJ96</f>
        <v>0</v>
      </c>
      <c r="I118" s="856">
        <f>April!$AJ96</f>
        <v>0</v>
      </c>
      <c r="J118" s="856">
        <f>Mai!$AJ96</f>
        <v>0</v>
      </c>
      <c r="K118" s="856">
        <f>Juni!$AJ96</f>
        <v>0</v>
      </c>
      <c r="L118" s="856">
        <f>Juli!$AJ96</f>
        <v>0</v>
      </c>
      <c r="M118" s="856">
        <f>August!$AJ96</f>
        <v>0</v>
      </c>
      <c r="N118" s="856">
        <f>September!$AJ96</f>
        <v>0</v>
      </c>
      <c r="O118" s="856">
        <f>Oktober!$AJ96</f>
        <v>0</v>
      </c>
      <c r="P118" s="856">
        <f>November!$AJ96</f>
        <v>0</v>
      </c>
      <c r="Q118" s="856">
        <f>Dezember!$AJ96</f>
        <v>0</v>
      </c>
      <c r="R118" s="857">
        <f t="shared" si="37"/>
        <v>0</v>
      </c>
      <c r="T118" s="858">
        <f t="shared" si="29"/>
        <v>0</v>
      </c>
      <c r="U118" s="858">
        <f t="shared" si="30"/>
        <v>0</v>
      </c>
      <c r="V118" s="858">
        <f t="shared" si="31"/>
        <v>0</v>
      </c>
      <c r="W118" s="858">
        <f t="shared" si="32"/>
        <v>0</v>
      </c>
      <c r="X118" s="15">
        <f t="shared" si="28"/>
        <v>116</v>
      </c>
      <c r="Y118" s="858">
        <f t="shared" si="33"/>
        <v>0</v>
      </c>
      <c r="Z118" s="973" t="str">
        <f t="shared" si="34"/>
        <v/>
      </c>
      <c r="AA118" s="858">
        <f t="shared" si="35"/>
        <v>0</v>
      </c>
      <c r="AB118" s="858">
        <f t="shared" si="36"/>
        <v>0</v>
      </c>
      <c r="AC118" s="858">
        <f t="shared" si="38"/>
        <v>0</v>
      </c>
    </row>
    <row r="119" spans="4:29" x14ac:dyDescent="0.2">
      <c r="D119" s="1188" t="str">
        <f>IF(ctArbeitsgebiete!H23&lt;&gt;"",ctArbeitsgebiete!H23,"")</f>
        <v/>
      </c>
      <c r="E119" s="1189"/>
      <c r="F119" s="856">
        <f>Januar!$AJ97</f>
        <v>0</v>
      </c>
      <c r="G119" s="856">
        <f>Februar!$AJ97</f>
        <v>0</v>
      </c>
      <c r="H119" s="856">
        <f>Maerz!$AJ97</f>
        <v>0</v>
      </c>
      <c r="I119" s="856">
        <f>April!$AJ97</f>
        <v>0</v>
      </c>
      <c r="J119" s="856">
        <f>Mai!$AJ97</f>
        <v>0</v>
      </c>
      <c r="K119" s="856">
        <f>Juni!$AJ97</f>
        <v>0</v>
      </c>
      <c r="L119" s="856">
        <f>Juli!$AJ97</f>
        <v>0</v>
      </c>
      <c r="M119" s="856">
        <f>August!$AJ97</f>
        <v>0</v>
      </c>
      <c r="N119" s="856">
        <f>September!$AJ97</f>
        <v>0</v>
      </c>
      <c r="O119" s="856">
        <f>Oktober!$AJ97</f>
        <v>0</v>
      </c>
      <c r="P119" s="856">
        <f>November!$AJ97</f>
        <v>0</v>
      </c>
      <c r="Q119" s="856">
        <f>Dezember!$AJ97</f>
        <v>0</v>
      </c>
      <c r="R119" s="857">
        <f t="shared" si="37"/>
        <v>0</v>
      </c>
      <c r="T119" s="858">
        <f t="shared" si="29"/>
        <v>0</v>
      </c>
      <c r="U119" s="858">
        <f t="shared" si="30"/>
        <v>0</v>
      </c>
      <c r="V119" s="858">
        <f t="shared" si="31"/>
        <v>0</v>
      </c>
      <c r="W119" s="858">
        <f t="shared" si="32"/>
        <v>0</v>
      </c>
      <c r="X119" s="15">
        <f t="shared" si="28"/>
        <v>117</v>
      </c>
      <c r="Y119" s="858">
        <f t="shared" si="33"/>
        <v>0</v>
      </c>
      <c r="Z119" s="973" t="str">
        <f t="shared" si="34"/>
        <v/>
      </c>
      <c r="AA119" s="858">
        <f t="shared" si="35"/>
        <v>0</v>
      </c>
      <c r="AB119" s="858">
        <f t="shared" si="36"/>
        <v>0</v>
      </c>
      <c r="AC119" s="858">
        <f t="shared" si="38"/>
        <v>0</v>
      </c>
    </row>
    <row r="120" spans="4:29" x14ac:dyDescent="0.2">
      <c r="D120" s="1188" t="str">
        <f>IF(ctArbeitsgebiete!H24&lt;&gt;"",ctArbeitsgebiete!H24,"")</f>
        <v/>
      </c>
      <c r="E120" s="1189"/>
      <c r="F120" s="856">
        <f>Januar!$AJ98</f>
        <v>0</v>
      </c>
      <c r="G120" s="856">
        <f>Februar!$AJ98</f>
        <v>0</v>
      </c>
      <c r="H120" s="856">
        <f>Maerz!$AJ98</f>
        <v>0</v>
      </c>
      <c r="I120" s="856">
        <f>April!$AJ98</f>
        <v>0</v>
      </c>
      <c r="J120" s="856">
        <f>Mai!$AJ98</f>
        <v>0</v>
      </c>
      <c r="K120" s="856">
        <f>Juni!$AJ98</f>
        <v>0</v>
      </c>
      <c r="L120" s="856">
        <f>Juli!$AJ98</f>
        <v>0</v>
      </c>
      <c r="M120" s="856">
        <f>August!$AJ98</f>
        <v>0</v>
      </c>
      <c r="N120" s="856">
        <f>September!$AJ98</f>
        <v>0</v>
      </c>
      <c r="O120" s="856">
        <f>Oktober!$AJ98</f>
        <v>0</v>
      </c>
      <c r="P120" s="856">
        <f>November!$AJ98</f>
        <v>0</v>
      </c>
      <c r="Q120" s="856">
        <f>Dezember!$AJ98</f>
        <v>0</v>
      </c>
      <c r="R120" s="857">
        <f t="shared" si="37"/>
        <v>0</v>
      </c>
      <c r="T120" s="858">
        <f t="shared" si="29"/>
        <v>0</v>
      </c>
      <c r="U120" s="858">
        <f t="shared" si="30"/>
        <v>0</v>
      </c>
      <c r="V120" s="858">
        <f t="shared" si="31"/>
        <v>0</v>
      </c>
      <c r="W120" s="858">
        <f t="shared" si="32"/>
        <v>0</v>
      </c>
      <c r="X120" s="15">
        <f t="shared" si="28"/>
        <v>118</v>
      </c>
      <c r="Y120" s="858">
        <f t="shared" si="33"/>
        <v>0</v>
      </c>
      <c r="Z120" s="973" t="str">
        <f t="shared" si="34"/>
        <v/>
      </c>
      <c r="AA120" s="858">
        <f t="shared" si="35"/>
        <v>0</v>
      </c>
      <c r="AB120" s="858">
        <f t="shared" si="36"/>
        <v>0</v>
      </c>
      <c r="AC120" s="858">
        <f t="shared" si="38"/>
        <v>0</v>
      </c>
    </row>
    <row r="121" spans="4:29" x14ac:dyDescent="0.2">
      <c r="D121" s="1188" t="str">
        <f>IF(ctArbeitsgebiete!H25&lt;&gt;"",ctArbeitsgebiete!H25,"")</f>
        <v/>
      </c>
      <c r="E121" s="1189"/>
      <c r="F121" s="856">
        <f>Januar!$AJ99</f>
        <v>0</v>
      </c>
      <c r="G121" s="856">
        <f>Februar!$AJ99</f>
        <v>0</v>
      </c>
      <c r="H121" s="856">
        <f>Maerz!$AJ99</f>
        <v>0</v>
      </c>
      <c r="I121" s="856">
        <f>April!$AJ99</f>
        <v>0</v>
      </c>
      <c r="J121" s="856">
        <f>Mai!$AJ99</f>
        <v>0</v>
      </c>
      <c r="K121" s="856">
        <f>Juni!$AJ99</f>
        <v>0</v>
      </c>
      <c r="L121" s="856">
        <f>Juli!$AJ99</f>
        <v>0</v>
      </c>
      <c r="M121" s="856">
        <f>August!$AJ99</f>
        <v>0</v>
      </c>
      <c r="N121" s="856">
        <f>September!$AJ99</f>
        <v>0</v>
      </c>
      <c r="O121" s="856">
        <f>Oktober!$AJ99</f>
        <v>0</v>
      </c>
      <c r="P121" s="856">
        <f>November!$AJ99</f>
        <v>0</v>
      </c>
      <c r="Q121" s="856">
        <f>Dezember!$AJ99</f>
        <v>0</v>
      </c>
      <c r="R121" s="857">
        <f t="shared" si="37"/>
        <v>0</v>
      </c>
      <c r="T121" s="858">
        <f t="shared" si="29"/>
        <v>0</v>
      </c>
      <c r="U121" s="858">
        <f t="shared" si="30"/>
        <v>0</v>
      </c>
      <c r="V121" s="858">
        <f t="shared" si="31"/>
        <v>0</v>
      </c>
      <c r="W121" s="858">
        <f t="shared" si="32"/>
        <v>0</v>
      </c>
      <c r="X121" s="15">
        <f t="shared" si="28"/>
        <v>119</v>
      </c>
      <c r="Y121" s="858">
        <f t="shared" si="33"/>
        <v>0</v>
      </c>
      <c r="Z121" s="973" t="str">
        <f t="shared" si="34"/>
        <v/>
      </c>
      <c r="AA121" s="858">
        <f t="shared" si="35"/>
        <v>0</v>
      </c>
      <c r="AB121" s="858">
        <f t="shared" si="36"/>
        <v>0</v>
      </c>
      <c r="AC121" s="858">
        <f t="shared" si="38"/>
        <v>0</v>
      </c>
    </row>
    <row r="122" spans="4:29" x14ac:dyDescent="0.2">
      <c r="D122" s="1188" t="str">
        <f>IF(ctArbeitsgebiete!H26&lt;&gt;"",ctArbeitsgebiete!H26,"")</f>
        <v/>
      </c>
      <c r="E122" s="1189"/>
      <c r="F122" s="856">
        <f>Januar!$AJ100</f>
        <v>0</v>
      </c>
      <c r="G122" s="856">
        <f>Februar!$AJ100</f>
        <v>0</v>
      </c>
      <c r="H122" s="856">
        <f>Maerz!$AJ100</f>
        <v>0</v>
      </c>
      <c r="I122" s="856">
        <f>April!$AJ100</f>
        <v>0</v>
      </c>
      <c r="J122" s="856">
        <f>Mai!$AJ100</f>
        <v>0</v>
      </c>
      <c r="K122" s="856">
        <f>Juni!$AJ100</f>
        <v>0</v>
      </c>
      <c r="L122" s="856">
        <f>Juli!$AJ100</f>
        <v>0</v>
      </c>
      <c r="M122" s="856">
        <f>August!$AJ100</f>
        <v>0</v>
      </c>
      <c r="N122" s="856">
        <f>September!$AJ100</f>
        <v>0</v>
      </c>
      <c r="O122" s="856">
        <f>Oktober!$AJ100</f>
        <v>0</v>
      </c>
      <c r="P122" s="856">
        <f>November!$AJ100</f>
        <v>0</v>
      </c>
      <c r="Q122" s="856">
        <f>Dezember!$AJ100</f>
        <v>0</v>
      </c>
      <c r="R122" s="857">
        <f t="shared" si="37"/>
        <v>0</v>
      </c>
      <c r="T122" s="858">
        <f t="shared" si="29"/>
        <v>0</v>
      </c>
      <c r="U122" s="858">
        <f t="shared" si="30"/>
        <v>0</v>
      </c>
      <c r="V122" s="858">
        <f t="shared" si="31"/>
        <v>0</v>
      </c>
      <c r="W122" s="858">
        <f t="shared" si="32"/>
        <v>0</v>
      </c>
      <c r="X122" s="15">
        <f t="shared" si="28"/>
        <v>120</v>
      </c>
      <c r="Y122" s="858">
        <f t="shared" si="33"/>
        <v>0</v>
      </c>
      <c r="Z122" s="973" t="str">
        <f t="shared" si="34"/>
        <v/>
      </c>
      <c r="AA122" s="858">
        <f t="shared" si="35"/>
        <v>0</v>
      </c>
      <c r="AB122" s="858">
        <f t="shared" si="36"/>
        <v>0</v>
      </c>
      <c r="AC122" s="858">
        <f t="shared" si="38"/>
        <v>0</v>
      </c>
    </row>
    <row r="123" spans="4:29" x14ac:dyDescent="0.2">
      <c r="D123" s="1190" t="str">
        <f>IF(ctArbeitsgebiete!H27&lt;&gt;"",ctArbeitsgebiete!H27,"")</f>
        <v/>
      </c>
      <c r="E123" s="1191"/>
      <c r="F123" s="859">
        <f>Januar!$AJ101</f>
        <v>0</v>
      </c>
      <c r="G123" s="859">
        <f>Februar!$AJ101</f>
        <v>0</v>
      </c>
      <c r="H123" s="859">
        <f>Maerz!$AJ101</f>
        <v>0</v>
      </c>
      <c r="I123" s="859">
        <f>April!$AJ101</f>
        <v>0</v>
      </c>
      <c r="J123" s="859">
        <f>Mai!$AJ101</f>
        <v>0</v>
      </c>
      <c r="K123" s="859">
        <f>Juni!$AJ101</f>
        <v>0</v>
      </c>
      <c r="L123" s="859">
        <f>Juli!$AJ101</f>
        <v>0</v>
      </c>
      <c r="M123" s="859">
        <f>August!$AJ101</f>
        <v>0</v>
      </c>
      <c r="N123" s="859">
        <f>September!$AJ101</f>
        <v>0</v>
      </c>
      <c r="O123" s="859">
        <f>Oktober!$AJ101</f>
        <v>0</v>
      </c>
      <c r="P123" s="859">
        <f>November!$AJ101</f>
        <v>0</v>
      </c>
      <c r="Q123" s="859">
        <f>Dezember!$AJ101</f>
        <v>0</v>
      </c>
      <c r="R123" s="860">
        <f t="shared" si="37"/>
        <v>0</v>
      </c>
      <c r="T123" s="861">
        <f t="shared" si="29"/>
        <v>0</v>
      </c>
      <c r="U123" s="861">
        <f t="shared" si="30"/>
        <v>0</v>
      </c>
      <c r="V123" s="861">
        <f t="shared" si="31"/>
        <v>0</v>
      </c>
      <c r="W123" s="861">
        <f t="shared" si="32"/>
        <v>0</v>
      </c>
      <c r="X123" s="15">
        <f t="shared" si="28"/>
        <v>121</v>
      </c>
      <c r="Y123" s="861">
        <f t="shared" si="33"/>
        <v>0</v>
      </c>
      <c r="Z123" s="973" t="str">
        <f t="shared" si="34"/>
        <v/>
      </c>
      <c r="AA123" s="861">
        <f t="shared" si="35"/>
        <v>0</v>
      </c>
      <c r="AB123" s="861">
        <f t="shared" si="36"/>
        <v>0</v>
      </c>
      <c r="AC123" s="861">
        <f t="shared" si="38"/>
        <v>0</v>
      </c>
    </row>
    <row r="124" spans="4:29" x14ac:dyDescent="0.2">
      <c r="D124" s="1186" t="str">
        <f>IF(ctArbeitsgebiete!E24&lt;&gt;"",ctArbeitsgebiete!E24,"")</f>
        <v/>
      </c>
      <c r="E124" s="1187"/>
      <c r="F124" s="993">
        <f>Januar!$AJ102</f>
        <v>0</v>
      </c>
      <c r="G124" s="993">
        <f>Februar!$AJ102</f>
        <v>0</v>
      </c>
      <c r="H124" s="993">
        <f>Maerz!$AJ102</f>
        <v>0</v>
      </c>
      <c r="I124" s="993">
        <f>April!$AJ102</f>
        <v>0</v>
      </c>
      <c r="J124" s="993">
        <f>Mai!$AJ102</f>
        <v>0</v>
      </c>
      <c r="K124" s="993">
        <f>Juni!$AJ102</f>
        <v>0</v>
      </c>
      <c r="L124" s="993">
        <f>Juli!$AJ102</f>
        <v>0</v>
      </c>
      <c r="M124" s="993">
        <f>August!$AJ102</f>
        <v>0</v>
      </c>
      <c r="N124" s="993">
        <f>September!$AJ102</f>
        <v>0</v>
      </c>
      <c r="O124" s="993">
        <f>Oktober!$AJ102</f>
        <v>0</v>
      </c>
      <c r="P124" s="993">
        <f>November!$AJ102</f>
        <v>0</v>
      </c>
      <c r="Q124" s="993">
        <f>Dezember!$AJ102</f>
        <v>0</v>
      </c>
      <c r="R124" s="994">
        <f>SUM(F124:Q124)</f>
        <v>0</v>
      </c>
      <c r="T124" s="995">
        <f>SUM(F124:H124)</f>
        <v>0</v>
      </c>
      <c r="U124" s="996">
        <f>SUM(I124:K124)</f>
        <v>0</v>
      </c>
      <c r="V124" s="996">
        <f>SUM(L124:N124)</f>
        <v>0</v>
      </c>
      <c r="W124" s="994">
        <f>SUM(O124:Q124)</f>
        <v>0</v>
      </c>
      <c r="X124" s="15">
        <f t="shared" si="28"/>
        <v>122</v>
      </c>
      <c r="Y124" s="996">
        <f t="shared" si="33"/>
        <v>0</v>
      </c>
      <c r="Z124" s="973" t="str">
        <f t="shared" si="34"/>
        <v/>
      </c>
      <c r="AA124" s="996">
        <f>HLOOKUP(BerichtQuelleB,TotalJahr,X124)</f>
        <v>0</v>
      </c>
      <c r="AB124" s="996">
        <f>HLOOKUP(BerichtQuelleD,TotalJahr,X124)</f>
        <v>0</v>
      </c>
      <c r="AC124" s="996">
        <f t="shared" si="38"/>
        <v>0</v>
      </c>
    </row>
    <row r="125" spans="4:29" x14ac:dyDescent="0.2">
      <c r="D125" s="1182" t="str">
        <f>IF(ctArbeitsgebiete!E25&lt;&gt;"",ctArbeitsgebiete!E25,"")</f>
        <v/>
      </c>
      <c r="E125" s="1183"/>
      <c r="F125" s="862">
        <f>Januar!$AJ103</f>
        <v>0</v>
      </c>
      <c r="G125" s="862">
        <f>Februar!$AJ103</f>
        <v>0</v>
      </c>
      <c r="H125" s="862">
        <f>Maerz!$AJ103</f>
        <v>0</v>
      </c>
      <c r="I125" s="862">
        <f>April!$AJ103</f>
        <v>0</v>
      </c>
      <c r="J125" s="862">
        <f>Mai!$AJ103</f>
        <v>0</v>
      </c>
      <c r="K125" s="862">
        <f>Juni!$AJ103</f>
        <v>0</v>
      </c>
      <c r="L125" s="862">
        <f>Juli!$AJ103</f>
        <v>0</v>
      </c>
      <c r="M125" s="862">
        <f>August!$AJ103</f>
        <v>0</v>
      </c>
      <c r="N125" s="862">
        <f>September!$AJ103</f>
        <v>0</v>
      </c>
      <c r="O125" s="862">
        <f>Oktober!$AJ103</f>
        <v>0</v>
      </c>
      <c r="P125" s="862">
        <f>November!$AJ103</f>
        <v>0</v>
      </c>
      <c r="Q125" s="862">
        <f>Dezember!$AJ103</f>
        <v>0</v>
      </c>
      <c r="R125" s="863">
        <f>SUM(F125:Q125)</f>
        <v>0</v>
      </c>
      <c r="T125" s="864">
        <f>SUM(F125:H125)</f>
        <v>0</v>
      </c>
      <c r="U125" s="865">
        <f>SUM(I125:K125)</f>
        <v>0</v>
      </c>
      <c r="V125" s="865">
        <f>SUM(L125:N125)</f>
        <v>0</v>
      </c>
      <c r="W125" s="863">
        <f>SUM(O125:Q125)</f>
        <v>0</v>
      </c>
      <c r="X125" s="15">
        <f t="shared" si="28"/>
        <v>123</v>
      </c>
      <c r="Y125" s="865">
        <f t="shared" si="33"/>
        <v>0</v>
      </c>
      <c r="Z125" s="973" t="str">
        <f t="shared" si="34"/>
        <v/>
      </c>
      <c r="AA125" s="865">
        <f>HLOOKUP(BerichtQuelleB,TotalJahr,X125)</f>
        <v>0</v>
      </c>
      <c r="AB125" s="865">
        <f>HLOOKUP(BerichtQuelleD,TotalJahr,X125)</f>
        <v>0</v>
      </c>
      <c r="AC125" s="865">
        <f t="shared" si="38"/>
        <v>0</v>
      </c>
    </row>
    <row r="126" spans="4:29" x14ac:dyDescent="0.2">
      <c r="D126" s="1182" t="str">
        <f>IF(ctArbeitsgebiete!E26&lt;&gt;"",ctArbeitsgebiete!E26,"")</f>
        <v/>
      </c>
      <c r="E126" s="1183"/>
      <c r="F126" s="862">
        <f>Januar!$AJ104</f>
        <v>0</v>
      </c>
      <c r="G126" s="862">
        <f>Februar!$AJ104</f>
        <v>0</v>
      </c>
      <c r="H126" s="862">
        <f>Maerz!$AJ104</f>
        <v>0</v>
      </c>
      <c r="I126" s="862">
        <f>April!$AJ104</f>
        <v>0</v>
      </c>
      <c r="J126" s="862">
        <f>Mai!$AJ104</f>
        <v>0</v>
      </c>
      <c r="K126" s="862">
        <f>Juni!$AJ104</f>
        <v>0</v>
      </c>
      <c r="L126" s="862">
        <f>Juli!$AJ104</f>
        <v>0</v>
      </c>
      <c r="M126" s="862">
        <f>August!$AJ104</f>
        <v>0</v>
      </c>
      <c r="N126" s="862">
        <f>September!$AJ104</f>
        <v>0</v>
      </c>
      <c r="O126" s="862">
        <f>Oktober!$AJ104</f>
        <v>0</v>
      </c>
      <c r="P126" s="862">
        <f>November!$AJ104</f>
        <v>0</v>
      </c>
      <c r="Q126" s="862">
        <f>Dezember!$AJ104</f>
        <v>0</v>
      </c>
      <c r="R126" s="863">
        <f t="shared" si="37"/>
        <v>0</v>
      </c>
      <c r="T126" s="864">
        <f t="shared" si="29"/>
        <v>0</v>
      </c>
      <c r="U126" s="865">
        <f t="shared" si="30"/>
        <v>0</v>
      </c>
      <c r="V126" s="865">
        <f t="shared" si="31"/>
        <v>0</v>
      </c>
      <c r="W126" s="863">
        <f t="shared" si="32"/>
        <v>0</v>
      </c>
      <c r="X126" s="15">
        <f t="shared" si="28"/>
        <v>124</v>
      </c>
      <c r="Y126" s="865">
        <f t="shared" si="33"/>
        <v>0</v>
      </c>
      <c r="Z126" s="973" t="str">
        <f>D126</f>
        <v/>
      </c>
      <c r="AA126" s="865">
        <f t="shared" si="35"/>
        <v>0</v>
      </c>
      <c r="AB126" s="865">
        <f t="shared" si="36"/>
        <v>0</v>
      </c>
      <c r="AC126" s="865">
        <f t="shared" si="38"/>
        <v>0</v>
      </c>
    </row>
    <row r="127" spans="4:29" ht="13.5" thickBot="1" x14ac:dyDescent="0.25">
      <c r="D127" s="1184" t="str">
        <f>IF(ctArbeitsgebiete!E27&lt;&gt;"",ctArbeitsgebiete!E27,"")</f>
        <v/>
      </c>
      <c r="E127" s="1185"/>
      <c r="F127" s="866">
        <f>Januar!$AJ105</f>
        <v>0</v>
      </c>
      <c r="G127" s="866">
        <f>Februar!$AJ105</f>
        <v>0</v>
      </c>
      <c r="H127" s="866">
        <f>Maerz!$AJ105</f>
        <v>0</v>
      </c>
      <c r="I127" s="866">
        <f>April!$AJ105</f>
        <v>0</v>
      </c>
      <c r="J127" s="866">
        <f>Mai!$AJ105</f>
        <v>0</v>
      </c>
      <c r="K127" s="866">
        <f>Juni!$AJ105</f>
        <v>0</v>
      </c>
      <c r="L127" s="866">
        <f>Juli!$AJ105</f>
        <v>0</v>
      </c>
      <c r="M127" s="866">
        <f>August!$AJ105</f>
        <v>0</v>
      </c>
      <c r="N127" s="866">
        <f>September!$AJ105</f>
        <v>0</v>
      </c>
      <c r="O127" s="866">
        <f>Oktober!$AJ105</f>
        <v>0</v>
      </c>
      <c r="P127" s="866">
        <f>November!$AJ105</f>
        <v>0</v>
      </c>
      <c r="Q127" s="866">
        <f>Dezember!$AJ105</f>
        <v>0</v>
      </c>
      <c r="R127" s="867">
        <f t="shared" si="37"/>
        <v>0</v>
      </c>
      <c r="T127" s="868">
        <f t="shared" si="29"/>
        <v>0</v>
      </c>
      <c r="U127" s="869">
        <f t="shared" si="30"/>
        <v>0</v>
      </c>
      <c r="V127" s="869">
        <f t="shared" si="31"/>
        <v>0</v>
      </c>
      <c r="W127" s="867">
        <f t="shared" si="32"/>
        <v>0</v>
      </c>
      <c r="X127" s="15">
        <f t="shared" si="28"/>
        <v>125</v>
      </c>
      <c r="Y127" s="869">
        <f t="shared" si="33"/>
        <v>0</v>
      </c>
      <c r="Z127" s="997" t="str">
        <f t="shared" si="34"/>
        <v/>
      </c>
      <c r="AA127" s="869">
        <f t="shared" si="35"/>
        <v>0</v>
      </c>
      <c r="AB127" s="869">
        <f t="shared" si="36"/>
        <v>0</v>
      </c>
      <c r="AC127" s="869">
        <f t="shared" si="38"/>
        <v>0</v>
      </c>
    </row>
    <row r="128" spans="4:29" x14ac:dyDescent="0.2">
      <c r="Z128" s="30"/>
    </row>
  </sheetData>
  <sheetProtection algorithmName="SHA-512" hashValue="eovWzbCOg9AQULucaCsFoN+fwE/7ET7NG3CyyQEDeb1jUeoLUBVohtdcGxaLkL6FKC+jUZ+MhsxM29oCcalBjQ==" saltValue="ewKEY/Tcs2W0UPTX2jTodA==" spinCount="100000" sheet="1" selectLockedCells="1"/>
  <mergeCells count="88">
    <mergeCell ref="D8:E8"/>
    <mergeCell ref="D20:E20"/>
    <mergeCell ref="D12:E12"/>
    <mergeCell ref="D11:E11"/>
    <mergeCell ref="D10:E10"/>
    <mergeCell ref="D9:E9"/>
    <mergeCell ref="D21:E21"/>
    <mergeCell ref="D17:E17"/>
    <mergeCell ref="D14:E14"/>
    <mergeCell ref="D15:E15"/>
    <mergeCell ref="D18:E18"/>
    <mergeCell ref="D19:E19"/>
    <mergeCell ref="D22:E22"/>
    <mergeCell ref="D23:E23"/>
    <mergeCell ref="D24:E24"/>
    <mergeCell ref="D25:E25"/>
    <mergeCell ref="D36:E36"/>
    <mergeCell ref="D28:E28"/>
    <mergeCell ref="D29:E29"/>
    <mergeCell ref="D47:E47"/>
    <mergeCell ref="D44:E44"/>
    <mergeCell ref="D45:E45"/>
    <mergeCell ref="D26:E26"/>
    <mergeCell ref="D27:E27"/>
    <mergeCell ref="D30:E30"/>
    <mergeCell ref="D31:E31"/>
    <mergeCell ref="D34:E34"/>
    <mergeCell ref="D35:E35"/>
    <mergeCell ref="D32:E32"/>
    <mergeCell ref="D33:E33"/>
    <mergeCell ref="D38:E38"/>
    <mergeCell ref="D39:E39"/>
    <mergeCell ref="D37:E37"/>
    <mergeCell ref="D40:E40"/>
    <mergeCell ref="D41:E41"/>
    <mergeCell ref="D42:E42"/>
    <mergeCell ref="D43:E43"/>
    <mergeCell ref="D46:E46"/>
    <mergeCell ref="D64:E64"/>
    <mergeCell ref="D65:E65"/>
    <mergeCell ref="D48:E48"/>
    <mergeCell ref="D49:E49"/>
    <mergeCell ref="D52:E52"/>
    <mergeCell ref="D53:E53"/>
    <mergeCell ref="D50:E50"/>
    <mergeCell ref="D51:E51"/>
    <mergeCell ref="D54:E54"/>
    <mergeCell ref="D55:E55"/>
    <mergeCell ref="D60:E60"/>
    <mergeCell ref="D61:E61"/>
    <mergeCell ref="D62:E62"/>
    <mergeCell ref="D74:E74"/>
    <mergeCell ref="D75:E75"/>
    <mergeCell ref="D66:E66"/>
    <mergeCell ref="D67:E67"/>
    <mergeCell ref="D68:E68"/>
    <mergeCell ref="D69:E69"/>
    <mergeCell ref="D70:E70"/>
    <mergeCell ref="D71:E71"/>
    <mergeCell ref="D72:E72"/>
    <mergeCell ref="D73:E73"/>
    <mergeCell ref="D63:E63"/>
    <mergeCell ref="D56:E56"/>
    <mergeCell ref="D57:E57"/>
    <mergeCell ref="D58:E58"/>
    <mergeCell ref="D59:E59"/>
    <mergeCell ref="D121:E121"/>
    <mergeCell ref="D76:E76"/>
    <mergeCell ref="D77:E77"/>
    <mergeCell ref="D85:E85"/>
    <mergeCell ref="D78:E78"/>
    <mergeCell ref="D79:E79"/>
    <mergeCell ref="D80:E80"/>
    <mergeCell ref="D81:E81"/>
    <mergeCell ref="D82:E82"/>
    <mergeCell ref="D83:E83"/>
    <mergeCell ref="D84:E84"/>
    <mergeCell ref="D116:E116"/>
    <mergeCell ref="D117:E117"/>
    <mergeCell ref="D118:E118"/>
    <mergeCell ref="D119:E119"/>
    <mergeCell ref="D120:E120"/>
    <mergeCell ref="D126:E126"/>
    <mergeCell ref="D127:E127"/>
    <mergeCell ref="D125:E125"/>
    <mergeCell ref="D124:E124"/>
    <mergeCell ref="D122:E122"/>
    <mergeCell ref="D123:E123"/>
  </mergeCells>
  <phoneticPr fontId="4" type="noConversion"/>
  <conditionalFormatting sqref="F7:Q7">
    <cfRule type="expression" dxfId="315" priority="3" stopIfTrue="1">
      <formula>WEEKDAY(F$3,2)=6</formula>
    </cfRule>
    <cfRule type="expression" dxfId="314" priority="4" stopIfTrue="1">
      <formula>WEEKDAY(F$3,2)=7</formula>
    </cfRule>
  </conditionalFormatting>
  <conditionalFormatting sqref="F13:Q13">
    <cfRule type="expression" dxfId="313" priority="5" stopIfTrue="1">
      <formula>WEEKDAY(F$3,2)=6</formula>
    </cfRule>
    <cfRule type="expression" dxfId="312" priority="6" stopIfTrue="1">
      <formula>WEEKDAY(F$3,2)=7</formula>
    </cfRule>
  </conditionalFormatting>
  <conditionalFormatting sqref="I20:Q20">
    <cfRule type="expression" dxfId="311" priority="7" stopIfTrue="1">
      <formula>WEEKDAY(I$3,2)=6</formula>
    </cfRule>
    <cfRule type="expression" dxfId="310" priority="8" stopIfTrue="1">
      <formula>WEEKDAY(I$3,2)=7</formula>
    </cfRule>
  </conditionalFormatting>
  <conditionalFormatting sqref="T3:W3 Y3:AC3 F4:R4">
    <cfRule type="expression" dxfId="309" priority="1" stopIfTrue="1">
      <formula>WEEKDAY(F$3,2)=6</formula>
    </cfRule>
    <cfRule type="expression" dxfId="308" priority="2" stopIfTrue="1">
      <formula>WEEKDAY(F$3,2)=7</formula>
    </cfRule>
  </conditionalFormatting>
  <printOptions horizontalCentered="1" verticalCentered="1"/>
  <pageMargins left="0.19685039370078741" right="0.19685039370078741" top="0.39370078740157483" bottom="0.47244094488188981" header="0.31496062992125984" footer="0.19685039370078741"/>
  <pageSetup paperSize="9" orientation="landscape"/>
  <headerFoot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autoPageBreaks="0" fitToPage="1"/>
  </sheetPr>
  <dimension ref="B1:O29"/>
  <sheetViews>
    <sheetView showGridLines="0" showRowColHeaders="0" showOutlineSymbols="0" workbookViewId="0">
      <pane ySplit="2" topLeftCell="A3" activePane="bottomLeft" state="frozen"/>
      <selection activeCell="B7" sqref="B7:C7"/>
      <selection pane="bottomLeft" activeCell="J2" sqref="J2:K2"/>
    </sheetView>
  </sheetViews>
  <sheetFormatPr baseColWidth="10" defaultColWidth="11.42578125" defaultRowHeight="12.75" x14ac:dyDescent="0.2"/>
  <cols>
    <col min="1" max="2" width="5.7109375" style="8" customWidth="1"/>
    <col min="3" max="3" width="6.28515625" style="8" customWidth="1"/>
    <col min="4" max="5" width="11.42578125" style="8"/>
    <col min="6" max="6" width="13.42578125" style="8" customWidth="1"/>
    <col min="7" max="8" width="11.42578125" style="8"/>
    <col min="9" max="9" width="1.85546875" style="8" customWidth="1"/>
    <col min="10" max="10" width="14.7109375" style="8" customWidth="1"/>
    <col min="11" max="11" width="7.85546875" style="8" customWidth="1"/>
    <col min="12" max="12" width="10.85546875" style="8" customWidth="1"/>
    <col min="13" max="15" width="11.42578125" style="8"/>
    <col min="16" max="28" width="10.85546875" style="8" customWidth="1"/>
    <col min="29" max="16384" width="11.42578125" style="8"/>
  </cols>
  <sheetData>
    <row r="1" spans="2:15" ht="18.75" thickBot="1" x14ac:dyDescent="0.25">
      <c r="B1" s="1" t="s">
        <v>345</v>
      </c>
      <c r="C1" s="2"/>
      <c r="D1" s="3"/>
      <c r="E1" s="3"/>
      <c r="F1" s="5"/>
      <c r="G1" s="6"/>
      <c r="H1" s="6"/>
      <c r="I1" s="13"/>
      <c r="J1" s="7"/>
      <c r="K1" s="13"/>
    </row>
    <row r="2" spans="2:15" ht="18.75" thickBot="1" x14ac:dyDescent="0.25">
      <c r="B2" s="9" t="str">
        <f>CONCATENATE("Arbeitszeit ",Berichtsjahr," von ",Mitarbeiter)</f>
        <v>Arbeitszeit 2026 von Max Muster, Musterstelle</v>
      </c>
      <c r="C2" s="10"/>
      <c r="D2" s="10"/>
      <c r="E2" s="237"/>
      <c r="F2" s="11"/>
      <c r="G2" s="12"/>
      <c r="H2" s="238"/>
      <c r="I2" s="13"/>
      <c r="J2" s="1241" t="s">
        <v>248</v>
      </c>
      <c r="K2" s="1242"/>
      <c r="L2" s="870"/>
      <c r="M2" s="716"/>
    </row>
    <row r="3" spans="2:15" ht="24.75" customHeight="1" x14ac:dyDescent="0.2"/>
    <row r="4" spans="2:15" ht="20.25" customHeight="1" x14ac:dyDescent="0.2">
      <c r="B4" s="871" t="s">
        <v>346</v>
      </c>
      <c r="C4" s="239"/>
      <c r="D4" s="239"/>
      <c r="E4" s="239"/>
      <c r="F4" s="239"/>
      <c r="G4" s="239"/>
      <c r="H4" s="239"/>
      <c r="I4" s="239"/>
      <c r="J4" s="239"/>
      <c r="K4" s="240"/>
      <c r="M4" s="1243" t="s">
        <v>347</v>
      </c>
      <c r="N4" s="1243"/>
      <c r="O4" s="1243"/>
    </row>
    <row r="5" spans="2:15" ht="21" customHeight="1" x14ac:dyDescent="0.2">
      <c r="B5" s="241"/>
      <c r="C5" s="8" t="s">
        <v>348</v>
      </c>
      <c r="J5" s="242">
        <f>ctJahresuebersicht!Y7</f>
        <v>100</v>
      </c>
      <c r="K5" s="243" t="s">
        <v>106</v>
      </c>
      <c r="M5" s="1243"/>
      <c r="N5" s="1243"/>
      <c r="O5" s="1243"/>
    </row>
    <row r="6" spans="2:15" x14ac:dyDescent="0.2">
      <c r="B6" s="241"/>
      <c r="C6" s="8" t="s">
        <v>349</v>
      </c>
      <c r="J6" s="242">
        <f>Eingabeblatt!I3</f>
        <v>100</v>
      </c>
      <c r="K6" s="244" t="s">
        <v>106</v>
      </c>
      <c r="M6" s="1243"/>
      <c r="N6" s="1243"/>
      <c r="O6" s="1243"/>
    </row>
    <row r="7" spans="2:15" x14ac:dyDescent="0.2">
      <c r="B7" s="241"/>
      <c r="C7" s="8" t="s">
        <v>350</v>
      </c>
      <c r="J7" s="245">
        <f>ctJahresuebersicht!R15</f>
        <v>88.383333339999965</v>
      </c>
      <c r="K7" s="246" t="s">
        <v>99</v>
      </c>
      <c r="M7" s="1243"/>
      <c r="N7" s="1243"/>
      <c r="O7" s="1243"/>
    </row>
    <row r="8" spans="2:15" x14ac:dyDescent="0.2">
      <c r="B8" s="241"/>
      <c r="C8" s="8" t="s">
        <v>351</v>
      </c>
      <c r="J8" s="245">
        <f>ctJahresuebersicht!R19</f>
        <v>2.9666666666666672</v>
      </c>
      <c r="K8" s="246" t="s">
        <v>99</v>
      </c>
      <c r="M8" s="1243"/>
      <c r="N8" s="1243"/>
      <c r="O8" s="1243"/>
    </row>
    <row r="9" spans="2:15" x14ac:dyDescent="0.2">
      <c r="B9" s="241"/>
      <c r="C9" s="8" t="s">
        <v>352</v>
      </c>
      <c r="J9" s="245">
        <f>ctPersonalangaben!D18</f>
        <v>8.0499999999999989</v>
      </c>
      <c r="K9" s="246" t="s">
        <v>99</v>
      </c>
      <c r="M9" s="1243"/>
      <c r="N9" s="1243"/>
      <c r="O9" s="1243"/>
    </row>
    <row r="10" spans="2:15" x14ac:dyDescent="0.2">
      <c r="B10" s="241"/>
      <c r="C10" s="8" t="s">
        <v>353</v>
      </c>
      <c r="J10" s="245"/>
      <c r="K10" s="246"/>
      <c r="M10" s="1243"/>
      <c r="N10" s="1243"/>
      <c r="O10" s="1243"/>
    </row>
    <row r="11" spans="2:15" x14ac:dyDescent="0.2">
      <c r="B11" s="241"/>
      <c r="D11" s="8" t="s">
        <v>354</v>
      </c>
      <c r="J11" s="247" t="str">
        <f>ctPersonalangaben!F11</f>
        <v>0:01</v>
      </c>
      <c r="K11" s="246" t="s">
        <v>99</v>
      </c>
      <c r="M11" s="1243"/>
      <c r="N11" s="1243"/>
      <c r="O11" s="1243"/>
    </row>
    <row r="12" spans="2:15" x14ac:dyDescent="0.2">
      <c r="B12" s="241"/>
      <c r="D12" s="8" t="s">
        <v>355</v>
      </c>
      <c r="J12" s="247" t="str">
        <f>ctPersonalangaben!F12</f>
        <v>0:00</v>
      </c>
      <c r="K12" s="246" t="s">
        <v>99</v>
      </c>
      <c r="M12" s="1243"/>
      <c r="N12" s="1243"/>
      <c r="O12" s="1243"/>
    </row>
    <row r="13" spans="2:15" x14ac:dyDescent="0.2">
      <c r="B13" s="248"/>
      <c r="C13" s="249"/>
      <c r="D13" s="249"/>
      <c r="E13" s="249"/>
      <c r="F13" s="249"/>
      <c r="G13" s="249"/>
      <c r="H13" s="249"/>
      <c r="I13" s="249"/>
      <c r="J13" s="250"/>
      <c r="K13" s="251"/>
      <c r="L13" s="241"/>
      <c r="M13" s="1243"/>
      <c r="N13" s="1243"/>
      <c r="O13" s="1243"/>
    </row>
    <row r="14" spans="2:15" ht="25.5" customHeight="1" x14ac:dyDescent="0.2">
      <c r="K14" s="239"/>
      <c r="M14" s="1243"/>
      <c r="N14" s="1243"/>
      <c r="O14" s="1243"/>
    </row>
    <row r="15" spans="2:15" x14ac:dyDescent="0.2">
      <c r="B15" s="34" t="str">
        <f>CONCATENATE("zur Arbeit im ",TEXT(BerichtQuelleA,"MMMM JJ"))</f>
        <v>zur Arbeit im Gesamtjahr</v>
      </c>
      <c r="J15" s="245"/>
      <c r="K15" s="245"/>
      <c r="M15" s="1243"/>
      <c r="N15" s="1243"/>
      <c r="O15" s="1243"/>
    </row>
    <row r="16" spans="2:15" ht="21" hidden="1" customHeight="1" x14ac:dyDescent="0.2">
      <c r="C16" s="8" t="s">
        <v>259</v>
      </c>
      <c r="J16" s="245">
        <f>ctJahresuebersicht!Y15</f>
        <v>88.383333339999965</v>
      </c>
      <c r="K16" s="245" t="s">
        <v>99</v>
      </c>
      <c r="M16" s="1243"/>
      <c r="N16" s="1243"/>
      <c r="O16" s="1243"/>
    </row>
    <row r="17" spans="2:15" ht="21" customHeight="1" x14ac:dyDescent="0.2">
      <c r="C17" s="8" t="s">
        <v>356</v>
      </c>
      <c r="J17" s="245">
        <f>ctJahresuebersicht!Y14</f>
        <v>2.9666666599999996</v>
      </c>
      <c r="K17" s="245" t="s">
        <v>99</v>
      </c>
      <c r="M17" s="1243"/>
      <c r="N17" s="1243"/>
      <c r="O17" s="1243"/>
    </row>
    <row r="18" spans="2:15" x14ac:dyDescent="0.2">
      <c r="C18" s="8" t="s">
        <v>262</v>
      </c>
      <c r="J18" s="245">
        <f>ctJahresuebersicht!Y17</f>
        <v>-88.383333339999965</v>
      </c>
      <c r="K18" s="245" t="s">
        <v>99</v>
      </c>
      <c r="M18" s="1243"/>
      <c r="N18" s="1243"/>
      <c r="O18" s="1243"/>
    </row>
    <row r="19" spans="2:15" x14ac:dyDescent="0.2">
      <c r="C19" s="8" t="str">
        <f>CONCATENATE("Arbeitszeit-Saldo (Überstunden/Minderstunden) Ende ",TEXT(BerichtQuelleA,"MMMM JJ"))</f>
        <v>Arbeitszeit-Saldo (Überstunden/Minderstunden) Ende Gesamtjahr</v>
      </c>
      <c r="J19" s="245">
        <f ca="1">ctJahresuebersicht!Y18</f>
        <v>0</v>
      </c>
      <c r="K19" s="245" t="s">
        <v>99</v>
      </c>
      <c r="M19" s="1243"/>
      <c r="N19" s="1243"/>
      <c r="O19" s="1243"/>
    </row>
    <row r="20" spans="2:15" x14ac:dyDescent="0.2">
      <c r="C20" s="8" t="str">
        <f>CONCATENATE("Ferienanspruch Ende ", TEXT(BerichtQuelleA,"MMMM JJ"))</f>
        <v>Ferienanspruch Ende Gesamtjahr</v>
      </c>
      <c r="J20" s="245">
        <f>ctJahresuebersicht!Y33</f>
        <v>8.0500000000000007</v>
      </c>
      <c r="K20" s="245" t="s">
        <v>99</v>
      </c>
      <c r="M20" s="1243"/>
      <c r="N20" s="1243"/>
      <c r="O20" s="1243"/>
    </row>
    <row r="21" spans="2:15" ht="27" customHeight="1" x14ac:dyDescent="0.2">
      <c r="J21" s="245"/>
      <c r="K21" s="245"/>
      <c r="M21" s="1243"/>
      <c r="N21" s="1243"/>
      <c r="O21" s="1243"/>
    </row>
    <row r="22" spans="2:15" x14ac:dyDescent="0.2">
      <c r="B22" s="34" t="str">
        <f>CONCATENATE("Aufteilung der Arbeitsgebiete (effektive Stellenprozente) im ", TEXT(BerichtQuelleA,"MMMM JJ"))</f>
        <v>Aufteilung der Arbeitsgebiete (effektive Stellenprozente) im Gesamtjahr</v>
      </c>
      <c r="J22" s="245"/>
      <c r="K22" s="245"/>
      <c r="M22" s="1243"/>
      <c r="N22" s="1243"/>
      <c r="O22" s="1243"/>
    </row>
    <row r="24" spans="2:15" x14ac:dyDescent="0.2">
      <c r="C24" s="1245" t="s">
        <v>357</v>
      </c>
      <c r="D24" s="1245"/>
      <c r="E24" s="1245"/>
      <c r="F24" s="1245"/>
      <c r="G24" s="872">
        <f>IF(ctJahresuebersicht!$Y8&gt;0,100/ctJahresuebersicht!$Y$15*ctJahresuebersicht!$Y8/100,0)*ctJahresuebersicht!$Y$7/100</f>
        <v>0</v>
      </c>
      <c r="H24" s="33"/>
      <c r="I24" s="33"/>
      <c r="J24" s="252">
        <f>ctJahresuebersicht!Y8</f>
        <v>0</v>
      </c>
      <c r="K24" s="252" t="s">
        <v>99</v>
      </c>
      <c r="M24" s="873" t="s">
        <v>358</v>
      </c>
    </row>
    <row r="25" spans="2:15" x14ac:dyDescent="0.2">
      <c r="C25" s="1246" t="str">
        <f>CONCATENATE("2: ",ctArbeitsgebiete!B7)</f>
        <v xml:space="preserve">2: </v>
      </c>
      <c r="D25" s="1246"/>
      <c r="E25" s="1246"/>
      <c r="F25" s="1246"/>
      <c r="G25" s="874">
        <f>IF(ctJahresuebersicht!$Y9&gt;0,100/ctJahresuebersicht!$Y$15*ctJahresuebersicht!$Y9/100,0)*ctJahresuebersicht!$Y$7/100</f>
        <v>0</v>
      </c>
      <c r="H25" s="253"/>
      <c r="I25" s="253"/>
      <c r="J25" s="254">
        <f>ctJahresuebersicht!Y9</f>
        <v>0</v>
      </c>
      <c r="K25" s="254" t="s">
        <v>99</v>
      </c>
    </row>
    <row r="26" spans="2:15" x14ac:dyDescent="0.2">
      <c r="C26" s="1247" t="str">
        <f>CONCATENATE("3: ",ctArbeitsgebiete!E7)</f>
        <v xml:space="preserve">3: </v>
      </c>
      <c r="D26" s="1247"/>
      <c r="E26" s="1247"/>
      <c r="F26" s="1247"/>
      <c r="G26" s="875">
        <f>IF(ctJahresuebersicht!$Y10&gt;0,100/ctJahresuebersicht!$Y$15*ctJahresuebersicht!$Y10/100,0)*ctJahresuebersicht!$Y$7/100</f>
        <v>0</v>
      </c>
      <c r="H26" s="255"/>
      <c r="I26" s="255"/>
      <c r="J26" s="256">
        <f>ctJahresuebersicht!Y10</f>
        <v>0</v>
      </c>
      <c r="K26" s="256" t="s">
        <v>99</v>
      </c>
    </row>
    <row r="27" spans="2:15" x14ac:dyDescent="0.2">
      <c r="C27" s="1248" t="str">
        <f>CONCATENATE("4: ",ctArbeitsgebiete!H7)</f>
        <v xml:space="preserve">4: </v>
      </c>
      <c r="D27" s="1248"/>
      <c r="E27" s="1248"/>
      <c r="F27" s="1248"/>
      <c r="G27" s="876">
        <f>IF(ctJahresuebersicht!$Y11&gt;0,100/ctJahresuebersicht!$Y$15*ctJahresuebersicht!$Y11/100,0)*ctJahresuebersicht!$Y$7/100</f>
        <v>0</v>
      </c>
      <c r="H27" s="257"/>
      <c r="I27" s="257"/>
      <c r="J27" s="258">
        <f>ctJahresuebersicht!Y11</f>
        <v>0</v>
      </c>
      <c r="K27" s="258" t="s">
        <v>99</v>
      </c>
    </row>
    <row r="28" spans="2:15" x14ac:dyDescent="0.2">
      <c r="C28" s="1244" t="str">
        <f>CONCATENATE("5: ",ctArbeitsgebiete!K7)</f>
        <v>5: Diverses</v>
      </c>
      <c r="D28" s="1244"/>
      <c r="E28" s="1244"/>
      <c r="F28" s="1244"/>
      <c r="G28" s="877">
        <f>IF(ctJahresuebersicht!$Y12&gt;0,100/ctJahresuebersicht!$Y$15*ctJahresuebersicht!$Y12/100,0)*ctJahresuebersicht!$Y$7/100</f>
        <v>0</v>
      </c>
      <c r="H28" s="259"/>
      <c r="I28" s="259"/>
      <c r="J28" s="260">
        <f>ctJahresuebersicht!Y12</f>
        <v>0</v>
      </c>
      <c r="K28" s="260" t="s">
        <v>99</v>
      </c>
    </row>
    <row r="29" spans="2:15" ht="21" customHeight="1" x14ac:dyDescent="0.2">
      <c r="C29" s="8" t="s">
        <v>359</v>
      </c>
      <c r="G29" s="261">
        <f>SUM(G24:G28)</f>
        <v>0</v>
      </c>
      <c r="J29" s="245">
        <f>SUM(J24:J28)</f>
        <v>0</v>
      </c>
      <c r="K29" s="245" t="s">
        <v>99</v>
      </c>
    </row>
  </sheetData>
  <sheetProtection algorithmName="SHA-512" hashValue="p0kOQAbUSz3JTIp03QnBbaizWC9w8Nv5h5k/+8GyEPFEBbRwW6/g5BQwYV6e2I7f5zOkHGBfphjDAc2ZXXINxw==" saltValue="DLw/EYspKWYMIhA2UEji7A==" spinCount="100000" sheet="1" selectLockedCells="1"/>
  <mergeCells count="7">
    <mergeCell ref="J2:K2"/>
    <mergeCell ref="M4:O22"/>
    <mergeCell ref="C28:F28"/>
    <mergeCell ref="C24:F24"/>
    <mergeCell ref="C25:F25"/>
    <mergeCell ref="C26:F26"/>
    <mergeCell ref="C27:F27"/>
  </mergeCells>
  <phoneticPr fontId="36" type="noConversion"/>
  <dataValidations count="2">
    <dataValidation type="custom" allowBlank="1" showInputMessage="1" showErrorMessage="1" sqref="M2" xr:uid="{00000000-0002-0000-0700-000000000000}">
      <formula1>BerichtListe</formula1>
    </dataValidation>
    <dataValidation type="list" allowBlank="1" showErrorMessage="1" sqref="J2" xr:uid="{00000000-0002-0000-0700-000001000000}">
      <formula1>BerichtListe</formula1>
    </dataValidation>
  </dataValidations>
  <printOptions horizontalCentered="1" verticalCentered="1"/>
  <pageMargins left="0.78740157480314965" right="0.78740157480314965" top="0.98425196850393704" bottom="0.98425196850393704" header="0.51181102362204722" footer="0.51181102362204722"/>
  <pageSetup paperSize="9" orientation="portrait"/>
  <headerFoot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pageSetUpPr fitToPage="1"/>
  </sheetPr>
  <dimension ref="B1:R123"/>
  <sheetViews>
    <sheetView showGridLines="0" showRowColHeaders="0" showOutlineSymbols="0" workbookViewId="0">
      <pane ySplit="2" topLeftCell="A3" activePane="bottomLeft" state="frozen"/>
      <selection activeCell="B7" sqref="B7:C7"/>
      <selection pane="bottomLeft" activeCell="J2" sqref="J2"/>
    </sheetView>
  </sheetViews>
  <sheetFormatPr baseColWidth="10" defaultColWidth="11.42578125" defaultRowHeight="12.75" outlineLevelRow="1" x14ac:dyDescent="0.2"/>
  <cols>
    <col min="1" max="1" width="5.7109375" style="8" customWidth="1"/>
    <col min="2" max="8" width="11.42578125" style="8"/>
    <col min="9" max="9" width="1.85546875" style="8" customWidth="1"/>
    <col min="10" max="10" width="19.7109375" style="264" bestFit="1" customWidth="1"/>
    <col min="11" max="14" width="11.42578125" style="8"/>
    <col min="15" max="16" width="12" style="348" customWidth="1"/>
    <col min="17" max="17" width="14.85546875" style="348" customWidth="1"/>
    <col min="18" max="18" width="12.28515625" style="8" bestFit="1" customWidth="1"/>
    <col min="19" max="19" width="14.42578125" style="8" bestFit="1" customWidth="1"/>
    <col min="20" max="20" width="14" style="8" bestFit="1" customWidth="1"/>
    <col min="21" max="16384" width="11.42578125" style="8"/>
  </cols>
  <sheetData>
    <row r="1" spans="2:18" ht="18.75" thickBot="1" x14ac:dyDescent="0.25">
      <c r="B1" s="1" t="s">
        <v>360</v>
      </c>
      <c r="C1" s="2"/>
      <c r="D1" s="3"/>
      <c r="E1" s="3"/>
      <c r="F1" s="5"/>
      <c r="G1" s="6"/>
      <c r="H1" s="6"/>
      <c r="I1" s="7"/>
      <c r="J1" s="262"/>
      <c r="K1" s="263"/>
      <c r="O1" s="781"/>
      <c r="P1" s="781"/>
      <c r="Q1" s="781"/>
    </row>
    <row r="2" spans="2:18" ht="18.75" thickBot="1" x14ac:dyDescent="0.25">
      <c r="B2" s="9" t="str">
        <f>CONCATENATE("Arbeitszeit ",Berichtsjahr," von ",Mitarbeiter)</f>
        <v>Arbeitszeit 2026 von Max Muster, Musterstelle</v>
      </c>
      <c r="C2" s="10"/>
      <c r="D2" s="10"/>
      <c r="E2" s="237"/>
      <c r="F2" s="11"/>
      <c r="G2" s="12"/>
      <c r="H2" s="238"/>
      <c r="I2" s="13"/>
      <c r="J2" s="266" t="s">
        <v>248</v>
      </c>
      <c r="K2" s="870"/>
      <c r="O2" s="781"/>
      <c r="P2" s="781"/>
      <c r="Q2" s="781"/>
    </row>
    <row r="3" spans="2:18" x14ac:dyDescent="0.2">
      <c r="O3" s="781"/>
      <c r="P3" s="781"/>
      <c r="Q3" s="781"/>
      <c r="R3" s="781"/>
    </row>
    <row r="4" spans="2:18" x14ac:dyDescent="0.2">
      <c r="B4" s="34" t="s">
        <v>361</v>
      </c>
      <c r="O4" s="781"/>
      <c r="P4" s="781"/>
      <c r="Q4" s="781"/>
      <c r="R4" s="781"/>
    </row>
    <row r="5" spans="2:18" x14ac:dyDescent="0.2">
      <c r="O5" s="781"/>
      <c r="P5" s="781"/>
      <c r="Q5" s="781"/>
      <c r="R5" s="781"/>
    </row>
    <row r="6" spans="2:18" x14ac:dyDescent="0.2">
      <c r="L6" s="1243" t="s">
        <v>347</v>
      </c>
      <c r="M6" s="1243"/>
      <c r="N6" s="1243"/>
      <c r="O6" s="878"/>
      <c r="P6" s="349" t="s">
        <v>362</v>
      </c>
      <c r="Q6" s="878"/>
      <c r="R6" s="781"/>
    </row>
    <row r="7" spans="2:18" x14ac:dyDescent="0.2">
      <c r="L7" s="1243"/>
      <c r="M7" s="1243"/>
      <c r="N7" s="1243"/>
      <c r="O7" s="878">
        <f>ctJahresuebersicht!X3</f>
        <v>1</v>
      </c>
      <c r="P7" s="352"/>
      <c r="Q7" s="351" t="str">
        <f>ctJahresuebersicht!AA3</f>
        <v>Gesamtjahr</v>
      </c>
      <c r="R7" s="781"/>
    </row>
    <row r="8" spans="2:18" x14ac:dyDescent="0.2">
      <c r="L8" s="1243"/>
      <c r="M8" s="1243"/>
      <c r="N8" s="1243"/>
      <c r="O8" s="878">
        <f>ctJahresuebersicht!X22</f>
        <v>20</v>
      </c>
      <c r="P8" s="265" t="str">
        <f>ctJahresuebersicht!Z22</f>
        <v>Ferienbezug</v>
      </c>
      <c r="Q8" s="879">
        <f>ctJahresuebersicht!AA22</f>
        <v>0</v>
      </c>
      <c r="R8" s="781"/>
    </row>
    <row r="9" spans="2:18" x14ac:dyDescent="0.2">
      <c r="L9" s="1243"/>
      <c r="M9" s="1243"/>
      <c r="N9" s="1243"/>
      <c r="O9" s="878">
        <f>ctJahresuebersicht!X25</f>
        <v>23</v>
      </c>
      <c r="P9" s="265" t="str">
        <f>ctJahresuebersicht!Z25</f>
        <v>Krankheit</v>
      </c>
      <c r="Q9" s="879">
        <f>ctJahresuebersicht!AA25</f>
        <v>0</v>
      </c>
      <c r="R9" s="781"/>
    </row>
    <row r="10" spans="2:18" x14ac:dyDescent="0.2">
      <c r="L10" s="1243"/>
      <c r="M10" s="1243"/>
      <c r="N10" s="1243"/>
      <c r="O10" s="878">
        <f>ctJahresuebersicht!X26</f>
        <v>24</v>
      </c>
      <c r="P10" s="265" t="str">
        <f>ctJahresuebersicht!Z26</f>
        <v>Unfall</v>
      </c>
      <c r="Q10" s="879">
        <f>ctJahresuebersicht!AA26</f>
        <v>0</v>
      </c>
      <c r="R10" s="781"/>
    </row>
    <row r="11" spans="2:18" x14ac:dyDescent="0.2">
      <c r="L11" s="1243"/>
      <c r="M11" s="1243"/>
      <c r="N11" s="1243"/>
      <c r="O11" s="878">
        <f>ctJahresuebersicht!X27</f>
        <v>25</v>
      </c>
      <c r="P11" s="265" t="str">
        <f>ctJahresuebersicht!Z27</f>
        <v>Militär / Zivildienst</v>
      </c>
      <c r="Q11" s="879">
        <f>ctJahresuebersicht!AA27</f>
        <v>0</v>
      </c>
      <c r="R11" s="781"/>
    </row>
    <row r="12" spans="2:18" x14ac:dyDescent="0.2">
      <c r="L12" s="1243"/>
      <c r="M12" s="1243"/>
      <c r="N12" s="1243"/>
      <c r="O12" s="878">
        <f>ctJahresuebersicht!X29</f>
        <v>27</v>
      </c>
      <c r="P12" s="265" t="str">
        <f>ctJahresuebersicht!Z29</f>
        <v>Weiterbildung</v>
      </c>
      <c r="Q12" s="879">
        <f>ctJahresuebersicht!AA29</f>
        <v>0</v>
      </c>
      <c r="R12" s="781"/>
    </row>
    <row r="13" spans="2:18" x14ac:dyDescent="0.2">
      <c r="L13" s="1243"/>
      <c r="M13" s="1243"/>
      <c r="N13" s="1243"/>
      <c r="O13" s="878">
        <f>ctJahresuebersicht!X30</f>
        <v>28</v>
      </c>
      <c r="P13" s="265" t="str">
        <f>ctJahresuebersicht!Z30</f>
        <v>Unbezahlter Urlaub</v>
      </c>
      <c r="Q13" s="879">
        <f>ctJahresuebersicht!AA30</f>
        <v>0</v>
      </c>
      <c r="R13" s="781"/>
    </row>
    <row r="14" spans="2:18" x14ac:dyDescent="0.2">
      <c r="L14" s="1243"/>
      <c r="M14" s="1243"/>
      <c r="N14" s="1243"/>
      <c r="O14" s="878">
        <f>ctJahresuebersicht!X31</f>
        <v>29</v>
      </c>
      <c r="P14" s="265" t="str">
        <f>ctJahresuebersicht!Z31</f>
        <v>Bezahlter Urlaub</v>
      </c>
      <c r="Q14" s="879">
        <f>ctJahresuebersicht!AA31</f>
        <v>0</v>
      </c>
      <c r="R14" s="781"/>
    </row>
    <row r="15" spans="2:18" x14ac:dyDescent="0.2">
      <c r="L15" s="1243"/>
      <c r="M15" s="1243"/>
      <c r="N15" s="1243"/>
      <c r="O15" s="878">
        <f>ctJahresuebersicht!X32</f>
        <v>30</v>
      </c>
      <c r="P15" s="265" t="str">
        <f>ctJahresuebersicht!Z32</f>
        <v>Kaderarbeitszeit</v>
      </c>
      <c r="Q15" s="879">
        <f>ctJahresuebersicht!AA32</f>
        <v>0</v>
      </c>
      <c r="R15" s="781"/>
    </row>
    <row r="16" spans="2:18" x14ac:dyDescent="0.2">
      <c r="L16" s="1243"/>
      <c r="M16" s="1243"/>
      <c r="N16" s="1243"/>
      <c r="O16" s="878">
        <f>ctJahresuebersicht!X41</f>
        <v>39</v>
      </c>
      <c r="P16" s="265" t="str">
        <f>ctJahresuebersicht!Z41</f>
        <v/>
      </c>
      <c r="Q16" s="879">
        <f>ctJahresuebersicht!AA41</f>
        <v>0</v>
      </c>
      <c r="R16" s="781"/>
    </row>
    <row r="17" spans="12:18" x14ac:dyDescent="0.2">
      <c r="L17" s="1243"/>
      <c r="M17" s="1243"/>
      <c r="N17" s="1243"/>
      <c r="O17" s="878">
        <f>ctJahresuebersicht!X42</f>
        <v>40</v>
      </c>
      <c r="P17" s="265" t="str">
        <f>ctJahresuebersicht!Z42</f>
        <v/>
      </c>
      <c r="Q17" s="879">
        <f>ctJahresuebersicht!AA42</f>
        <v>0</v>
      </c>
      <c r="R17" s="781"/>
    </row>
    <row r="18" spans="12:18" x14ac:dyDescent="0.2">
      <c r="L18" s="1243"/>
      <c r="M18" s="1243"/>
      <c r="N18" s="1243"/>
      <c r="O18" s="878">
        <f>ctJahresuebersicht!X43</f>
        <v>41</v>
      </c>
      <c r="P18" s="265" t="str">
        <f>ctJahresuebersicht!Z43</f>
        <v/>
      </c>
      <c r="Q18" s="879">
        <f>ctJahresuebersicht!AA43</f>
        <v>0</v>
      </c>
      <c r="R18" s="781"/>
    </row>
    <row r="19" spans="12:18" x14ac:dyDescent="0.2">
      <c r="L19" s="1243"/>
      <c r="M19" s="1243"/>
      <c r="N19" s="1243"/>
      <c r="O19" s="878">
        <f>ctJahresuebersicht!X44</f>
        <v>42</v>
      </c>
      <c r="P19" s="265" t="str">
        <f>ctJahresuebersicht!Z44</f>
        <v/>
      </c>
      <c r="Q19" s="879">
        <f>ctJahresuebersicht!AA44</f>
        <v>0</v>
      </c>
      <c r="R19" s="781"/>
    </row>
    <row r="20" spans="12:18" x14ac:dyDescent="0.2">
      <c r="L20" s="1243"/>
      <c r="M20" s="1243"/>
      <c r="N20" s="1243"/>
      <c r="O20" s="878">
        <f>ctJahresuebersicht!X45</f>
        <v>43</v>
      </c>
      <c r="P20" s="265" t="str">
        <f>ctJahresuebersicht!Z45</f>
        <v/>
      </c>
      <c r="Q20" s="879">
        <f>ctJahresuebersicht!AA45</f>
        <v>0</v>
      </c>
      <c r="R20" s="781"/>
    </row>
    <row r="21" spans="12:18" x14ac:dyDescent="0.2">
      <c r="L21" s="1243"/>
      <c r="M21" s="1243"/>
      <c r="N21" s="1243"/>
      <c r="O21" s="878">
        <f>ctJahresuebersicht!X46</f>
        <v>44</v>
      </c>
      <c r="P21" s="265" t="str">
        <f>ctJahresuebersicht!Z46</f>
        <v/>
      </c>
      <c r="Q21" s="879">
        <f>ctJahresuebersicht!AA46</f>
        <v>0</v>
      </c>
      <c r="R21" s="781"/>
    </row>
    <row r="22" spans="12:18" x14ac:dyDescent="0.2">
      <c r="L22" s="1243"/>
      <c r="M22" s="1243"/>
      <c r="N22" s="1243"/>
      <c r="O22" s="878">
        <f>ctJahresuebersicht!X47</f>
        <v>45</v>
      </c>
      <c r="P22" s="265" t="str">
        <f>ctJahresuebersicht!Z47</f>
        <v/>
      </c>
      <c r="Q22" s="879">
        <f>ctJahresuebersicht!AA47</f>
        <v>0</v>
      </c>
      <c r="R22" s="781"/>
    </row>
    <row r="23" spans="12:18" x14ac:dyDescent="0.2">
      <c r="L23" s="1243"/>
      <c r="M23" s="1243"/>
      <c r="N23" s="1243"/>
      <c r="O23" s="878">
        <f>ctJahresuebersicht!X48</f>
        <v>46</v>
      </c>
      <c r="P23" s="265" t="str">
        <f>ctJahresuebersicht!Z48</f>
        <v/>
      </c>
      <c r="Q23" s="879">
        <f>ctJahresuebersicht!AA48</f>
        <v>0</v>
      </c>
      <c r="R23" s="781"/>
    </row>
    <row r="24" spans="12:18" x14ac:dyDescent="0.2">
      <c r="O24" s="878">
        <f>ctJahresuebersicht!X49</f>
        <v>47</v>
      </c>
      <c r="P24" s="265" t="str">
        <f>ctJahresuebersicht!Z49</f>
        <v/>
      </c>
      <c r="Q24" s="879">
        <f>ctJahresuebersicht!AA49</f>
        <v>0</v>
      </c>
      <c r="R24" s="781"/>
    </row>
    <row r="25" spans="12:18" x14ac:dyDescent="0.2">
      <c r="O25" s="878">
        <f>ctJahresuebersicht!X50</f>
        <v>48</v>
      </c>
      <c r="P25" s="265" t="str">
        <f>ctJahresuebersicht!Z50</f>
        <v/>
      </c>
      <c r="Q25" s="879">
        <f>ctJahresuebersicht!AA50</f>
        <v>0</v>
      </c>
      <c r="R25" s="781"/>
    </row>
    <row r="26" spans="12:18" x14ac:dyDescent="0.2">
      <c r="O26" s="878">
        <f>ctJahresuebersicht!X51</f>
        <v>49</v>
      </c>
      <c r="P26" s="265" t="str">
        <f>ctJahresuebersicht!Z51</f>
        <v/>
      </c>
      <c r="Q26" s="879">
        <f>ctJahresuebersicht!AA51</f>
        <v>0</v>
      </c>
      <c r="R26" s="781"/>
    </row>
    <row r="27" spans="12:18" x14ac:dyDescent="0.2">
      <c r="O27" s="878">
        <f>ctJahresuebersicht!X52</f>
        <v>50</v>
      </c>
      <c r="P27" s="265" t="str">
        <f>ctJahresuebersicht!Z52</f>
        <v/>
      </c>
      <c r="Q27" s="879">
        <f>ctJahresuebersicht!AA52</f>
        <v>0</v>
      </c>
      <c r="R27" s="781"/>
    </row>
    <row r="28" spans="12:18" x14ac:dyDescent="0.2">
      <c r="O28" s="878">
        <f>ctJahresuebersicht!X53</f>
        <v>51</v>
      </c>
      <c r="P28" s="265" t="str">
        <f>ctJahresuebersicht!Z53</f>
        <v/>
      </c>
      <c r="Q28" s="879">
        <f>ctJahresuebersicht!AA53</f>
        <v>0</v>
      </c>
      <c r="R28" s="781"/>
    </row>
    <row r="29" spans="12:18" x14ac:dyDescent="0.2">
      <c r="O29" s="878">
        <f>ctJahresuebersicht!X54</f>
        <v>52</v>
      </c>
      <c r="P29" s="265" t="str">
        <f>ctJahresuebersicht!Z54</f>
        <v/>
      </c>
      <c r="Q29" s="879">
        <f>ctJahresuebersicht!AA54</f>
        <v>0</v>
      </c>
      <c r="R29" s="781"/>
    </row>
    <row r="30" spans="12:18" x14ac:dyDescent="0.2">
      <c r="O30" s="878">
        <f>ctJahresuebersicht!X55</f>
        <v>53</v>
      </c>
      <c r="P30" s="265" t="str">
        <f>ctJahresuebersicht!Z55</f>
        <v/>
      </c>
      <c r="Q30" s="879">
        <f>ctJahresuebersicht!AA55</f>
        <v>0</v>
      </c>
      <c r="R30" s="781"/>
    </row>
    <row r="31" spans="12:18" x14ac:dyDescent="0.2">
      <c r="O31" s="878">
        <f>ctJahresuebersicht!X56</f>
        <v>54</v>
      </c>
      <c r="P31" s="265" t="str">
        <f>ctJahresuebersicht!Z56</f>
        <v/>
      </c>
      <c r="Q31" s="879">
        <f>ctJahresuebersicht!AA56</f>
        <v>0</v>
      </c>
      <c r="R31" s="781"/>
    </row>
    <row r="32" spans="12:18" x14ac:dyDescent="0.2">
      <c r="O32" s="878">
        <f>ctJahresuebersicht!X57</f>
        <v>55</v>
      </c>
      <c r="P32" s="265" t="str">
        <f>ctJahresuebersicht!Z57</f>
        <v/>
      </c>
      <c r="Q32" s="879">
        <f>ctJahresuebersicht!AA57</f>
        <v>0</v>
      </c>
      <c r="R32" s="781"/>
    </row>
    <row r="33" spans="15:18" x14ac:dyDescent="0.2">
      <c r="O33" s="878">
        <f>ctJahresuebersicht!X58</f>
        <v>56</v>
      </c>
      <c r="P33" s="265" t="str">
        <f>ctJahresuebersicht!Z58</f>
        <v/>
      </c>
      <c r="Q33" s="879">
        <f>ctJahresuebersicht!AA58</f>
        <v>0</v>
      </c>
      <c r="R33" s="781"/>
    </row>
    <row r="34" spans="15:18" x14ac:dyDescent="0.2">
      <c r="O34" s="878">
        <f>ctJahresuebersicht!X59</f>
        <v>57</v>
      </c>
      <c r="P34" s="265" t="str">
        <f>ctJahresuebersicht!Z59</f>
        <v/>
      </c>
      <c r="Q34" s="879">
        <f>ctJahresuebersicht!AA59</f>
        <v>0</v>
      </c>
      <c r="R34" s="781"/>
    </row>
    <row r="35" spans="15:18" x14ac:dyDescent="0.2">
      <c r="O35" s="878">
        <f>ctJahresuebersicht!X60</f>
        <v>58</v>
      </c>
      <c r="P35" s="265" t="str">
        <f>ctJahresuebersicht!Z60</f>
        <v/>
      </c>
      <c r="Q35" s="879">
        <f>ctJahresuebersicht!AA60</f>
        <v>0</v>
      </c>
      <c r="R35" s="781"/>
    </row>
    <row r="36" spans="15:18" x14ac:dyDescent="0.2">
      <c r="O36" s="878">
        <f>ctJahresuebersicht!X61</f>
        <v>59</v>
      </c>
      <c r="P36" s="265" t="str">
        <f>ctJahresuebersicht!Z61</f>
        <v/>
      </c>
      <c r="Q36" s="879">
        <f>ctJahresuebersicht!AA61</f>
        <v>0</v>
      </c>
      <c r="R36" s="781"/>
    </row>
    <row r="37" spans="15:18" x14ac:dyDescent="0.2">
      <c r="O37" s="878">
        <f>ctJahresuebersicht!X62</f>
        <v>60</v>
      </c>
      <c r="P37" s="265" t="str">
        <f>ctJahresuebersicht!Z62</f>
        <v/>
      </c>
      <c r="Q37" s="879">
        <f>ctJahresuebersicht!AA62</f>
        <v>0</v>
      </c>
      <c r="R37" s="781"/>
    </row>
    <row r="38" spans="15:18" x14ac:dyDescent="0.2">
      <c r="O38" s="878">
        <f>ctJahresuebersicht!X63</f>
        <v>61</v>
      </c>
      <c r="P38" s="265" t="str">
        <f>ctJahresuebersicht!Z63</f>
        <v/>
      </c>
      <c r="Q38" s="879">
        <f>ctJahresuebersicht!AA63</f>
        <v>0</v>
      </c>
      <c r="R38" s="781"/>
    </row>
    <row r="39" spans="15:18" x14ac:dyDescent="0.2">
      <c r="O39" s="878">
        <f>ctJahresuebersicht!X64</f>
        <v>62</v>
      </c>
      <c r="P39" s="265" t="str">
        <f>ctJahresuebersicht!Z64</f>
        <v/>
      </c>
      <c r="Q39" s="879">
        <f>ctJahresuebersicht!AA64</f>
        <v>0</v>
      </c>
      <c r="R39" s="781"/>
    </row>
    <row r="40" spans="15:18" x14ac:dyDescent="0.2">
      <c r="O40" s="878">
        <f>ctJahresuebersicht!X65</f>
        <v>63</v>
      </c>
      <c r="P40" s="265" t="str">
        <f>ctJahresuebersicht!Z65</f>
        <v/>
      </c>
      <c r="Q40" s="879">
        <f>ctJahresuebersicht!AA65</f>
        <v>0</v>
      </c>
      <c r="R40" s="781"/>
    </row>
    <row r="41" spans="15:18" x14ac:dyDescent="0.2">
      <c r="O41" s="878">
        <f>ctJahresuebersicht!X66</f>
        <v>64</v>
      </c>
      <c r="P41" s="265" t="str">
        <f>ctJahresuebersicht!Z66</f>
        <v/>
      </c>
      <c r="Q41" s="879">
        <f>ctJahresuebersicht!AA66</f>
        <v>0</v>
      </c>
      <c r="R41" s="781"/>
    </row>
    <row r="42" spans="15:18" x14ac:dyDescent="0.2">
      <c r="O42" s="878">
        <f>ctJahresuebersicht!X67</f>
        <v>65</v>
      </c>
      <c r="P42" s="265" t="str">
        <f>ctJahresuebersicht!Z67</f>
        <v/>
      </c>
      <c r="Q42" s="879">
        <f>ctJahresuebersicht!AA67</f>
        <v>0</v>
      </c>
      <c r="R42" s="781"/>
    </row>
    <row r="43" spans="15:18" x14ac:dyDescent="0.2">
      <c r="O43" s="878">
        <f>ctJahresuebersicht!X68</f>
        <v>66</v>
      </c>
      <c r="P43" s="265" t="str">
        <f>ctJahresuebersicht!Z68</f>
        <v/>
      </c>
      <c r="Q43" s="879">
        <f>ctJahresuebersicht!AA68</f>
        <v>0</v>
      </c>
      <c r="R43" s="781"/>
    </row>
    <row r="44" spans="15:18" x14ac:dyDescent="0.2">
      <c r="O44" s="878">
        <f>ctJahresuebersicht!X69</f>
        <v>67</v>
      </c>
      <c r="P44" s="265" t="str">
        <f>ctJahresuebersicht!Z69</f>
        <v/>
      </c>
      <c r="Q44" s="879">
        <f>ctJahresuebersicht!AA69</f>
        <v>0</v>
      </c>
      <c r="R44" s="781"/>
    </row>
    <row r="45" spans="15:18" x14ac:dyDescent="0.2">
      <c r="O45" s="878">
        <f>ctJahresuebersicht!X70</f>
        <v>68</v>
      </c>
      <c r="P45" s="265" t="str">
        <f>ctJahresuebersicht!Z70</f>
        <v/>
      </c>
      <c r="Q45" s="879">
        <f>ctJahresuebersicht!AA70</f>
        <v>0</v>
      </c>
      <c r="R45" s="781"/>
    </row>
    <row r="46" spans="15:18" x14ac:dyDescent="0.2">
      <c r="O46" s="878">
        <f>ctJahresuebersicht!X71</f>
        <v>69</v>
      </c>
      <c r="P46" s="265" t="str">
        <f>ctJahresuebersicht!Z71</f>
        <v/>
      </c>
      <c r="Q46" s="879">
        <f>ctJahresuebersicht!AA71</f>
        <v>0</v>
      </c>
      <c r="R46" s="781"/>
    </row>
    <row r="47" spans="15:18" x14ac:dyDescent="0.2">
      <c r="O47" s="878">
        <f>ctJahresuebersicht!X72</f>
        <v>70</v>
      </c>
      <c r="P47" s="265" t="str">
        <f>ctJahresuebersicht!Z72</f>
        <v/>
      </c>
      <c r="Q47" s="879">
        <f>ctJahresuebersicht!AA72</f>
        <v>0</v>
      </c>
      <c r="R47" s="781"/>
    </row>
    <row r="48" spans="15:18" x14ac:dyDescent="0.2">
      <c r="O48" s="878">
        <f>ctJahresuebersicht!X73</f>
        <v>71</v>
      </c>
      <c r="P48" s="265" t="str">
        <f>ctJahresuebersicht!Z73</f>
        <v/>
      </c>
      <c r="Q48" s="879">
        <f>ctJahresuebersicht!AA73</f>
        <v>0</v>
      </c>
      <c r="R48" s="781"/>
    </row>
    <row r="49" spans="15:18" x14ac:dyDescent="0.2">
      <c r="O49" s="878">
        <f>ctJahresuebersicht!X74</f>
        <v>72</v>
      </c>
      <c r="P49" s="265" t="str">
        <f>ctJahresuebersicht!Z74</f>
        <v/>
      </c>
      <c r="Q49" s="879">
        <f>ctJahresuebersicht!AA74</f>
        <v>0</v>
      </c>
      <c r="R49" s="781"/>
    </row>
    <row r="50" spans="15:18" x14ac:dyDescent="0.2">
      <c r="O50" s="878">
        <f>ctJahresuebersicht!X75</f>
        <v>73</v>
      </c>
      <c r="P50" s="265" t="str">
        <f>ctJahresuebersicht!Z75</f>
        <v/>
      </c>
      <c r="Q50" s="879">
        <f>ctJahresuebersicht!AA75</f>
        <v>0</v>
      </c>
      <c r="R50" s="781"/>
    </row>
    <row r="51" spans="15:18" x14ac:dyDescent="0.2">
      <c r="O51" s="878">
        <f>ctJahresuebersicht!X76</f>
        <v>74</v>
      </c>
      <c r="P51" s="265" t="str">
        <f>ctJahresuebersicht!Z76</f>
        <v/>
      </c>
      <c r="Q51" s="879">
        <f>ctJahresuebersicht!AA76</f>
        <v>0</v>
      </c>
      <c r="R51" s="781"/>
    </row>
    <row r="52" spans="15:18" x14ac:dyDescent="0.2">
      <c r="O52" s="878">
        <f>ctJahresuebersicht!X77</f>
        <v>75</v>
      </c>
      <c r="P52" s="265" t="str">
        <f>ctJahresuebersicht!Z77</f>
        <v>DAG</v>
      </c>
      <c r="Q52" s="879">
        <f>ctJahresuebersicht!AA77</f>
        <v>0</v>
      </c>
      <c r="R52" s="781"/>
    </row>
    <row r="53" spans="15:18" x14ac:dyDescent="0.2">
      <c r="O53" s="878">
        <f>ctJahresuebersicht!X78</f>
        <v>76</v>
      </c>
      <c r="P53" s="265" t="str">
        <f>ctJahresuebersicht!Z78</f>
        <v>Betriebsausflug</v>
      </c>
      <c r="Q53" s="879">
        <f>ctJahresuebersicht!AA78</f>
        <v>0</v>
      </c>
      <c r="R53" s="781"/>
    </row>
    <row r="54" spans="15:18" x14ac:dyDescent="0.2">
      <c r="O54" s="878">
        <f>ctJahresuebersicht!X79</f>
        <v>77</v>
      </c>
      <c r="P54" s="265" t="str">
        <f>ctJahresuebersicht!Z79</f>
        <v/>
      </c>
      <c r="Q54" s="879">
        <f>ctJahresuebersicht!AA79</f>
        <v>0</v>
      </c>
      <c r="R54" s="781"/>
    </row>
    <row r="55" spans="15:18" x14ac:dyDescent="0.2">
      <c r="O55" s="878">
        <f>ctJahresuebersicht!X80</f>
        <v>78</v>
      </c>
      <c r="P55" s="265" t="str">
        <f>ctJahresuebersicht!Z80</f>
        <v/>
      </c>
      <c r="Q55" s="879">
        <f>ctJahresuebersicht!AA80</f>
        <v>0</v>
      </c>
      <c r="R55" s="781"/>
    </row>
    <row r="56" spans="15:18" x14ac:dyDescent="0.2">
      <c r="O56" s="878">
        <f>ctJahresuebersicht!X81</f>
        <v>79</v>
      </c>
      <c r="P56" s="265" t="str">
        <f>ctJahresuebersicht!Z81</f>
        <v/>
      </c>
      <c r="Q56" s="879">
        <f>ctJahresuebersicht!AA81</f>
        <v>0</v>
      </c>
      <c r="R56" s="781"/>
    </row>
    <row r="57" spans="15:18" x14ac:dyDescent="0.2">
      <c r="O57" s="878">
        <f>ctJahresuebersicht!X82</f>
        <v>80</v>
      </c>
      <c r="P57" s="265" t="str">
        <f>ctJahresuebersicht!Z82</f>
        <v/>
      </c>
      <c r="Q57" s="879">
        <f>ctJahresuebersicht!AA82</f>
        <v>0</v>
      </c>
      <c r="R57" s="781"/>
    </row>
    <row r="58" spans="15:18" x14ac:dyDescent="0.2">
      <c r="O58" s="878">
        <f>ctJahresuebersicht!X83</f>
        <v>81</v>
      </c>
      <c r="P58" s="265" t="str">
        <f>ctJahresuebersicht!Z83</f>
        <v/>
      </c>
      <c r="Q58" s="879">
        <f>ctJahresuebersicht!AA83</f>
        <v>0</v>
      </c>
      <c r="R58" s="781"/>
    </row>
    <row r="59" spans="15:18" x14ac:dyDescent="0.2">
      <c r="O59" s="878">
        <f>ctJahresuebersicht!X84</f>
        <v>82</v>
      </c>
      <c r="P59" s="265" t="str">
        <f>ctJahresuebersicht!Z84</f>
        <v/>
      </c>
      <c r="Q59" s="879">
        <f>ctJahresuebersicht!AA84</f>
        <v>0</v>
      </c>
      <c r="R59" s="781"/>
    </row>
    <row r="60" spans="15:18" x14ac:dyDescent="0.2">
      <c r="O60" s="781"/>
      <c r="P60" s="781"/>
      <c r="Q60" s="781"/>
      <c r="R60" s="781"/>
    </row>
    <row r="61" spans="15:18" x14ac:dyDescent="0.2">
      <c r="O61" s="781"/>
      <c r="P61" s="781"/>
      <c r="Q61" s="781"/>
      <c r="R61" s="781"/>
    </row>
    <row r="62" spans="15:18" x14ac:dyDescent="0.2">
      <c r="O62" s="781"/>
      <c r="P62" s="781"/>
      <c r="Q62" s="781"/>
      <c r="R62" s="781"/>
    </row>
    <row r="70" spans="10:10" outlineLevel="1" x14ac:dyDescent="0.2">
      <c r="J70" s="209"/>
    </row>
    <row r="71" spans="10:10" outlineLevel="1" x14ac:dyDescent="0.2">
      <c r="J71" s="209"/>
    </row>
    <row r="72" spans="10:10" outlineLevel="1" x14ac:dyDescent="0.2">
      <c r="J72" s="209"/>
    </row>
    <row r="73" spans="10:10" outlineLevel="1" x14ac:dyDescent="0.2">
      <c r="J73" s="209"/>
    </row>
    <row r="74" spans="10:10" outlineLevel="1" x14ac:dyDescent="0.2">
      <c r="J74" s="209"/>
    </row>
    <row r="75" spans="10:10" outlineLevel="1" x14ac:dyDescent="0.2">
      <c r="J75" s="209"/>
    </row>
    <row r="76" spans="10:10" outlineLevel="1" x14ac:dyDescent="0.2">
      <c r="J76" s="209"/>
    </row>
    <row r="77" spans="10:10" outlineLevel="1" x14ac:dyDescent="0.2">
      <c r="J77" s="209"/>
    </row>
    <row r="78" spans="10:10" outlineLevel="1" x14ac:dyDescent="0.2">
      <c r="J78" s="209"/>
    </row>
    <row r="79" spans="10:10" outlineLevel="1" x14ac:dyDescent="0.2">
      <c r="J79" s="209"/>
    </row>
    <row r="80" spans="10:10" outlineLevel="1" x14ac:dyDescent="0.2">
      <c r="J80" s="209"/>
    </row>
    <row r="81" spans="10:10" outlineLevel="1" x14ac:dyDescent="0.2">
      <c r="J81" s="209"/>
    </row>
    <row r="82" spans="10:10" outlineLevel="1" x14ac:dyDescent="0.2">
      <c r="J82" s="209"/>
    </row>
    <row r="83" spans="10:10" outlineLevel="1" x14ac:dyDescent="0.2">
      <c r="J83" s="209"/>
    </row>
    <row r="84" spans="10:10" outlineLevel="1" x14ac:dyDescent="0.2">
      <c r="J84" s="209"/>
    </row>
    <row r="85" spans="10:10" outlineLevel="1" x14ac:dyDescent="0.2">
      <c r="J85" s="209"/>
    </row>
    <row r="86" spans="10:10" outlineLevel="1" x14ac:dyDescent="0.2">
      <c r="J86" s="209"/>
    </row>
    <row r="87" spans="10:10" outlineLevel="1" x14ac:dyDescent="0.2">
      <c r="J87" s="209"/>
    </row>
    <row r="88" spans="10:10" outlineLevel="1" x14ac:dyDescent="0.2">
      <c r="J88" s="209"/>
    </row>
    <row r="89" spans="10:10" outlineLevel="1" x14ac:dyDescent="0.2">
      <c r="J89" s="209"/>
    </row>
    <row r="90" spans="10:10" outlineLevel="1" x14ac:dyDescent="0.2">
      <c r="J90" s="209"/>
    </row>
    <row r="91" spans="10:10" outlineLevel="1" x14ac:dyDescent="0.2">
      <c r="J91" s="209"/>
    </row>
    <row r="92" spans="10:10" outlineLevel="1" x14ac:dyDescent="0.2">
      <c r="J92" s="209"/>
    </row>
    <row r="93" spans="10:10" outlineLevel="1" x14ac:dyDescent="0.2">
      <c r="J93" s="209"/>
    </row>
    <row r="94" spans="10:10" outlineLevel="1" x14ac:dyDescent="0.2">
      <c r="J94" s="209"/>
    </row>
    <row r="95" spans="10:10" outlineLevel="1" x14ac:dyDescent="0.2">
      <c r="J95" s="209"/>
    </row>
    <row r="96" spans="10:10" outlineLevel="1" x14ac:dyDescent="0.2">
      <c r="J96" s="209"/>
    </row>
    <row r="97" spans="10:10" outlineLevel="1" x14ac:dyDescent="0.2">
      <c r="J97" s="209"/>
    </row>
    <row r="98" spans="10:10" outlineLevel="1" x14ac:dyDescent="0.2">
      <c r="J98" s="209"/>
    </row>
    <row r="99" spans="10:10" outlineLevel="1" x14ac:dyDescent="0.2">
      <c r="J99" s="209"/>
    </row>
    <row r="100" spans="10:10" outlineLevel="1" x14ac:dyDescent="0.2">
      <c r="J100" s="209"/>
    </row>
    <row r="101" spans="10:10" outlineLevel="1" x14ac:dyDescent="0.2">
      <c r="J101" s="209"/>
    </row>
    <row r="102" spans="10:10" outlineLevel="1" x14ac:dyDescent="0.2">
      <c r="J102" s="209"/>
    </row>
    <row r="103" spans="10:10" outlineLevel="1" x14ac:dyDescent="0.2">
      <c r="J103" s="209"/>
    </row>
    <row r="104" spans="10:10" outlineLevel="1" x14ac:dyDescent="0.2">
      <c r="J104" s="209"/>
    </row>
    <row r="105" spans="10:10" outlineLevel="1" x14ac:dyDescent="0.2">
      <c r="J105" s="209"/>
    </row>
    <row r="106" spans="10:10" outlineLevel="1" x14ac:dyDescent="0.2">
      <c r="J106" s="209"/>
    </row>
    <row r="107" spans="10:10" outlineLevel="1" x14ac:dyDescent="0.2">
      <c r="J107" s="209"/>
    </row>
    <row r="108" spans="10:10" outlineLevel="1" x14ac:dyDescent="0.2">
      <c r="J108" s="209"/>
    </row>
    <row r="109" spans="10:10" outlineLevel="1" x14ac:dyDescent="0.2">
      <c r="J109" s="209"/>
    </row>
    <row r="110" spans="10:10" outlineLevel="1" x14ac:dyDescent="0.2">
      <c r="J110" s="209"/>
    </row>
    <row r="111" spans="10:10" outlineLevel="1" x14ac:dyDescent="0.2">
      <c r="J111" s="209"/>
    </row>
    <row r="112" spans="10:10" outlineLevel="1" x14ac:dyDescent="0.2">
      <c r="J112" s="209"/>
    </row>
    <row r="113" outlineLevel="1" x14ac:dyDescent="0.2"/>
    <row r="114" outlineLevel="1" x14ac:dyDescent="0.2"/>
    <row r="115" outlineLevel="1" x14ac:dyDescent="0.2"/>
    <row r="116" outlineLevel="1" x14ac:dyDescent="0.2"/>
    <row r="117" outlineLevel="1" x14ac:dyDescent="0.2"/>
    <row r="118" outlineLevel="1" x14ac:dyDescent="0.2"/>
    <row r="119" outlineLevel="1" x14ac:dyDescent="0.2"/>
    <row r="120" outlineLevel="1" x14ac:dyDescent="0.2"/>
    <row r="121" outlineLevel="1" x14ac:dyDescent="0.2"/>
    <row r="122" outlineLevel="1" x14ac:dyDescent="0.2"/>
    <row r="123" outlineLevel="1" x14ac:dyDescent="0.2"/>
  </sheetData>
  <sheetProtection algorithmName="SHA-512" hashValue="p7Yk44qjs+D0Lk137WjoJIrXL7GlmzmYsuBypJZPYcmd11KCJl/aG8PwhCfc+QwogC7s4SO8HqXs2/LSaEx7gw==" saltValue="IxmCEy+QiXr7+bo2GQmbhg==" spinCount="100000" sheet="1" selectLockedCells="1"/>
  <mergeCells count="1">
    <mergeCell ref="L6:N23"/>
  </mergeCells>
  <phoneticPr fontId="36" type="noConversion"/>
  <conditionalFormatting sqref="P7:Q7">
    <cfRule type="expression" dxfId="307" priority="1" stopIfTrue="1">
      <formula>WEEKDAY(#REF!,2)=6</formula>
    </cfRule>
    <cfRule type="expression" dxfId="306" priority="2" stopIfTrue="1">
      <formula>WEEKDAY(#REF!,2)=7</formula>
    </cfRule>
  </conditionalFormatting>
  <dataValidations count="2">
    <dataValidation type="custom" allowBlank="1" showInputMessage="1" showErrorMessage="1" sqref="L2" xr:uid="{00000000-0002-0000-0800-000000000000}">
      <formula1>BerichtListe</formula1>
    </dataValidation>
    <dataValidation type="list" allowBlank="1" showErrorMessage="1" sqref="J2" xr:uid="{00000000-0002-0000-0800-000001000000}">
      <formula1>BerichtListe</formula1>
    </dataValidation>
  </dataValidations>
  <printOptions horizontalCentered="1" verticalCentered="1"/>
  <pageMargins left="0.78740157480314965" right="0.55118110236220474" top="0.98425196850393704" bottom="0.98425196850393704" header="0.51181102362204722" footer="0.51181102362204722"/>
  <pageSetup paperSize="9" scale="86" orientation="portrait"/>
  <headerFoot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B86B59180B6724C9A00085280390B5E" ma:contentTypeVersion="11" ma:contentTypeDescription="Ein neues Dokument erstellen." ma:contentTypeScope="" ma:versionID="483598e409728c5f6884fa654e369b43">
  <xsd:schema xmlns:xsd="http://www.w3.org/2001/XMLSchema" xmlns:xs="http://www.w3.org/2001/XMLSchema" xmlns:p="http://schemas.microsoft.com/office/2006/metadata/properties" xmlns:ns2="61e9686d-168e-4c92-b384-763ada44f469" xmlns:ns3="2c153d26-8e04-4b1d-bc8f-d46bbabf0c70" targetNamespace="http://schemas.microsoft.com/office/2006/metadata/properties" ma:root="true" ma:fieldsID="b2e37b68f2279a350d4404df8c25de40" ns2:_="" ns3:_="">
    <xsd:import namespace="61e9686d-168e-4c92-b384-763ada44f469"/>
    <xsd:import namespace="2c153d26-8e04-4b1d-bc8f-d46bbabf0c7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e9686d-168e-4c92-b384-763ada44f4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cef84a3c-6f38-4050-86b7-dfbe387e463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153d26-8e04-4b1d-bc8f-d46bbabf0c7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0412a46-3474-4702-9a4d-5cf97fc7064a}" ma:internalName="TaxCatchAll" ma:showField="CatchAllData" ma:web="2c153d26-8e04-4b1d-bc8f-d46bbabf0c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c153d26-8e04-4b1d-bc8f-d46bbabf0c70" xsi:nil="true"/>
    <lcf76f155ced4ddcb4097134ff3c332f xmlns="61e9686d-168e-4c92-b384-763ada44f46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4789C6-55AB-49DF-99F5-59A479FE2E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e9686d-168e-4c92-b384-763ada44f469"/>
    <ds:schemaRef ds:uri="2c153d26-8e04-4b1d-bc8f-d46bbabf0c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ECF86C-2B40-4624-9238-54FD84F42D4E}">
  <ds:schemaRefs>
    <ds:schemaRef ds:uri="http://www.w3.org/XML/1998/namespace"/>
    <ds:schemaRef ds:uri="http://schemas.microsoft.com/office/2006/documentManagement/types"/>
    <ds:schemaRef ds:uri="http://purl.org/dc/terms/"/>
    <ds:schemaRef ds:uri="http://schemas.microsoft.com/office/2006/metadata/properties"/>
    <ds:schemaRef ds:uri="2c153d26-8e04-4b1d-bc8f-d46bbabf0c70"/>
    <ds:schemaRef ds:uri="http://purl.org/dc/elements/1.1/"/>
    <ds:schemaRef ds:uri="http://schemas.microsoft.com/office/infopath/2007/PartnerControls"/>
    <ds:schemaRef ds:uri="http://schemas.openxmlformats.org/package/2006/metadata/core-properties"/>
    <ds:schemaRef ds:uri="61e9686d-168e-4c92-b384-763ada44f469"/>
    <ds:schemaRef ds:uri="http://purl.org/dc/dcmitype/"/>
  </ds:schemaRefs>
</ds:datastoreItem>
</file>

<file path=customXml/itemProps3.xml><?xml version="1.0" encoding="utf-8"?>
<ds:datastoreItem xmlns:ds="http://schemas.openxmlformats.org/officeDocument/2006/customXml" ds:itemID="{A1D04FC6-908B-46C8-99AF-F6CA08F5E2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27</vt:i4>
      </vt:variant>
      <vt:variant>
        <vt:lpstr>Benannte Bereiche</vt:lpstr>
      </vt:variant>
      <vt:variant>
        <vt:i4>60</vt:i4>
      </vt:variant>
    </vt:vector>
  </HeadingPairs>
  <TitlesOfParts>
    <vt:vector size="87" baseType="lpstr">
      <vt:lpstr>Entwickler</vt:lpstr>
      <vt:lpstr>ctStartseite</vt:lpstr>
      <vt:lpstr>ctTipps</vt:lpstr>
      <vt:lpstr>ctPersonalangaben</vt:lpstr>
      <vt:lpstr>ctFeierFreitage</vt:lpstr>
      <vt:lpstr>ctArbeitsgebiete</vt:lpstr>
      <vt:lpstr>ctJahresuebersicht</vt:lpstr>
      <vt:lpstr>ctMonatsbericht_A</vt:lpstr>
      <vt:lpstr>ctAufgabenbericht_B</vt:lpstr>
      <vt:lpstr>ctUeberzeitbericht_C</vt:lpstr>
      <vt:lpstr>ctPlanungsbericht_D</vt:lpstr>
      <vt:lpstr>ctZaehlbericht_F</vt:lpstr>
      <vt:lpstr>Januar</vt:lpstr>
      <vt:lpstr>Februar</vt:lpstr>
      <vt:lpstr>Maerz</vt:lpstr>
      <vt:lpstr>April</vt:lpstr>
      <vt:lpstr>Mai</vt:lpstr>
      <vt:lpstr>Juni</vt:lpstr>
      <vt:lpstr>Juli</vt:lpstr>
      <vt:lpstr>August</vt:lpstr>
      <vt:lpstr>September</vt:lpstr>
      <vt:lpstr>Oktober</vt:lpstr>
      <vt:lpstr>November</vt:lpstr>
      <vt:lpstr>Dezember</vt:lpstr>
      <vt:lpstr>KALENDER</vt:lpstr>
      <vt:lpstr>Jahresabrechnung</vt:lpstr>
      <vt:lpstr>Eingabeblatt</vt:lpstr>
      <vt:lpstr>april</vt:lpstr>
      <vt:lpstr>Arbeitskalender</vt:lpstr>
      <vt:lpstr>Arbeitstage</vt:lpstr>
      <vt:lpstr>Arbeitszeit</vt:lpstr>
      <vt:lpstr>august</vt:lpstr>
      <vt:lpstr>BerichtListe</vt:lpstr>
      <vt:lpstr>BerichtQuelleA</vt:lpstr>
      <vt:lpstr>BerichtQuelleB</vt:lpstr>
      <vt:lpstr>BerichtQuelleC</vt:lpstr>
      <vt:lpstr>BerichtQuelleD</vt:lpstr>
      <vt:lpstr>BerichtQuelleF</vt:lpstr>
      <vt:lpstr>Berichtsjahr</vt:lpstr>
      <vt:lpstr>dezember</vt:lpstr>
      <vt:lpstr>April!Druckbereich</vt:lpstr>
      <vt:lpstr>August!Druckbereich</vt:lpstr>
      <vt:lpstr>ctArbeitsgebiete!Druckbereich</vt:lpstr>
      <vt:lpstr>ctAufgabenbericht_B!Druckbereich</vt:lpstr>
      <vt:lpstr>ctFeierFreitage!Druckbereich</vt:lpstr>
      <vt:lpstr>ctJahresuebersicht!Druckbereich</vt:lpstr>
      <vt:lpstr>ctMonatsbericht_A!Druckbereich</vt:lpstr>
      <vt:lpstr>ctPersonalangaben!Druckbereich</vt:lpstr>
      <vt:lpstr>ctPlanungsbericht_D!Druckbereich</vt:lpstr>
      <vt:lpstr>ctTipps!Druckbereich</vt:lpstr>
      <vt:lpstr>ctUeberzeitbericht_C!Druckbereich</vt:lpstr>
      <vt:lpstr>ctZaehlbericht_F!Druckbereich</vt:lpstr>
      <vt:lpstr>Dezember!Druckbereich</vt:lpstr>
      <vt:lpstr>Eingabeblatt!Druckbereich</vt:lpstr>
      <vt:lpstr>Februar!Druckbereich</vt:lpstr>
      <vt:lpstr>Jahresabrechnung!Druckbereich</vt:lpstr>
      <vt:lpstr>Januar!Druckbereich</vt:lpstr>
      <vt:lpstr>Juli!Druckbereich</vt:lpstr>
      <vt:lpstr>Juni!Druckbereich</vt:lpstr>
      <vt:lpstr>KALENDER!Druckbereich</vt:lpstr>
      <vt:lpstr>Maerz!Druckbereich</vt:lpstr>
      <vt:lpstr>Mai!Druckbereich</vt:lpstr>
      <vt:lpstr>November!Druckbereich</vt:lpstr>
      <vt:lpstr>Oktober!Druckbereich</vt:lpstr>
      <vt:lpstr>September!Druckbereich</vt:lpstr>
      <vt:lpstr>februar</vt:lpstr>
      <vt:lpstr>Feiertage</vt:lpstr>
      <vt:lpstr>Feiertage1</vt:lpstr>
      <vt:lpstr>Feiertagsanspruch</vt:lpstr>
      <vt:lpstr>Ferienanspruch</vt:lpstr>
      <vt:lpstr>FerienWoche</vt:lpstr>
      <vt:lpstr>Feste</vt:lpstr>
      <vt:lpstr>januar</vt:lpstr>
      <vt:lpstr>juli</vt:lpstr>
      <vt:lpstr>juni</vt:lpstr>
      <vt:lpstr>mai</vt:lpstr>
      <vt:lpstr>märz</vt:lpstr>
      <vt:lpstr>Mitarbeiter</vt:lpstr>
      <vt:lpstr>Normtagesarbeitszeit</vt:lpstr>
      <vt:lpstr>november</vt:lpstr>
      <vt:lpstr>oktober</vt:lpstr>
      <vt:lpstr>KALENDER!Raz</vt:lpstr>
      <vt:lpstr>Raz</vt:lpstr>
      <vt:lpstr>september</vt:lpstr>
      <vt:lpstr>Tage</vt:lpstr>
      <vt:lpstr>TotalJahr</vt:lpstr>
      <vt:lpstr>Eingabeblatt!Zeiten</vt:lpstr>
    </vt:vector>
  </TitlesOfParts>
  <Manager>H.J. Abbühl</Manager>
  <Company>Abraxas Informatik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Arbeitszeiterfassung</dc:title>
  <dc:subject/>
  <dc:creator>Schmid und Wilhelm</dc:creator>
  <cp:keywords/>
  <dc:description/>
  <cp:lastModifiedBy>Maria Streule</cp:lastModifiedBy>
  <cp:revision/>
  <dcterms:created xsi:type="dcterms:W3CDTF">1998-11-10T14:00:44Z</dcterms:created>
  <dcterms:modified xsi:type="dcterms:W3CDTF">2025-12-19T16:01:15Z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0x0101006B86B59180B6724C9A00085280390B5E</vt:lpwstr>
  </property>
  <property fmtid="{D5CDD505-2E9C-101B-9397-08002B2CF9AE}" pid="3" name="Order">
    <vt:r8>251600</vt:r8>
  </property>
  <property fmtid="{D5CDD505-2E9C-101B-9397-08002B2CF9AE}" pid="4" name="MediaServiceImageTags">
    <vt:lpwstr/>
  </property>
</Properties>
</file>